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284" yWindow="612" windowWidth="12240" windowHeight="4740" activeTab="0"/>
  </bookViews>
  <sheets>
    <sheet name="2016 Contrib Key" sheetId="1" r:id="rId1"/>
    <sheet name="2017 Contrib Key" sheetId="2" r:id="rId2"/>
    <sheet name="Notes" sheetId="3" r:id="rId3"/>
    <sheet name="Calculations" sheetId="4" r:id="rId4"/>
  </sheets>
  <definedNames>
    <definedName name="_xlnm.Print_Area" localSheetId="0">'2016 Contrib Key'!$A$1:$P$49</definedName>
    <definedName name="_xlnm.Print_Area" localSheetId="1">'2017 Contrib Key'!$A$1:$P$49</definedName>
  </definedNames>
  <calcPr calcMode="manual" fullCalcOnLoad="1"/>
</workbook>
</file>

<file path=xl/comments1.xml><?xml version="1.0" encoding="utf-8"?>
<comments xmlns="http://schemas.openxmlformats.org/spreadsheetml/2006/main">
  <authors>
    <author>User</author>
    <author>Ron</author>
  </authors>
  <commentList>
    <comment ref="I1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New subsidy from 2014 @70% ; 2015 was at 70% tillJune, then vacancy. Now 65%
</t>
        </r>
      </text>
    </comment>
    <comment ref="I20" authorId="0">
      <text>
        <r>
          <rPr>
            <sz val="10"/>
            <rFont val="Tahoma"/>
            <family val="2"/>
          </rPr>
          <t xml:space="preserve">2nd 
last YEAR see table Dbn St Paul Hillcrest
</t>
        </r>
      </text>
    </comment>
    <comment ref="I21" authorId="1">
      <text>
        <r>
          <rPr>
            <b/>
            <sz val="9"/>
            <rFont val="Tahoma"/>
            <family val="2"/>
          </rPr>
          <t>Ron:</t>
        </r>
        <r>
          <rPr>
            <sz val="9"/>
            <rFont val="Tahoma"/>
            <family val="2"/>
          </rPr>
          <t xml:space="preserve">
40% of pastors post</t>
        </r>
      </text>
    </comment>
    <comment ref="I16" authorId="1">
      <text>
        <r>
          <rPr>
            <b/>
            <sz val="9"/>
            <rFont val="Tahoma"/>
            <family val="2"/>
          </rPr>
          <t>Ron:</t>
        </r>
        <r>
          <rPr>
            <sz val="9"/>
            <rFont val="Tahoma"/>
            <family val="2"/>
          </rPr>
          <t xml:space="preserve">
year 2 = 45%</t>
        </r>
      </text>
    </comment>
  </commentList>
</comments>
</file>

<file path=xl/comments2.xml><?xml version="1.0" encoding="utf-8"?>
<comments xmlns="http://schemas.openxmlformats.org/spreadsheetml/2006/main">
  <authors>
    <author>User</author>
    <author>Ron</author>
  </authors>
  <commentList>
    <comment ref="I13" authorId="0">
      <text>
        <r>
          <rPr>
            <sz val="8"/>
            <rFont val="Tahoma"/>
            <family val="2"/>
          </rPr>
          <t xml:space="preserve">
60%</t>
        </r>
      </text>
    </comment>
    <comment ref="I20" authorId="0">
      <text>
        <r>
          <rPr>
            <b/>
            <sz val="8"/>
            <rFont val="Tahoma"/>
            <family val="2"/>
          </rPr>
          <t>Last year, 
see Dbn St Paul Hillcrest table</t>
        </r>
      </text>
    </comment>
    <comment ref="I21" authorId="1">
      <text>
        <r>
          <rPr>
            <b/>
            <sz val="9"/>
            <rFont val="Tahoma"/>
            <family val="2"/>
          </rPr>
          <t>Ron:</t>
        </r>
        <r>
          <rPr>
            <sz val="9"/>
            <rFont val="Tahoma"/>
            <family val="2"/>
          </rPr>
          <t xml:space="preserve">
35% subsidy</t>
        </r>
      </text>
    </comment>
    <comment ref="I16" authorId="0">
      <text>
        <r>
          <rPr>
            <sz val="8"/>
            <rFont val="Tahoma"/>
            <family val="2"/>
          </rPr>
          <t xml:space="preserve">yr 3 at 40%
</t>
        </r>
      </text>
    </comment>
  </commentList>
</comments>
</file>

<file path=xl/sharedStrings.xml><?xml version="1.0" encoding="utf-8"?>
<sst xmlns="http://schemas.openxmlformats.org/spreadsheetml/2006/main" count="314" uniqueCount="117">
  <si>
    <t>EVANGELICAL LUTHERAN CHURCH IN SOUTHERN AFRICA (N-T)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</si>
  <si>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</si>
  <si>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</si>
  <si>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</si>
  <si>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</si>
  <si>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</si>
  <si>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</si>
  <si>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</si>
  <si>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</si>
  <si>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</si>
  <si>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</si>
  <si>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</si>
  <si>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</si>
  <si>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</si>
  <si>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</si>
  <si>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POSTS</t>
  </si>
  <si>
    <t>BISHOP</t>
  </si>
  <si>
    <t>CONTRIB</t>
  </si>
  <si>
    <t>TOTAL</t>
  </si>
  <si>
    <t>CREDITS</t>
  </si>
  <si>
    <t>NET</t>
  </si>
  <si>
    <t>AMOUNT</t>
  </si>
  <si>
    <t>PAYABLE</t>
  </si>
  <si>
    <t>CONGREGATION</t>
  </si>
  <si>
    <t>PRETORIA - ST.PETER</t>
  </si>
  <si>
    <t>PRETORIA - JOHANNES</t>
  </si>
  <si>
    <t>NORDRAND</t>
  </si>
  <si>
    <t>KROONDAL</t>
  </si>
  <si>
    <t>KEMPTON PARK</t>
  </si>
  <si>
    <t>VRYHEID</t>
  </si>
  <si>
    <t>AUGSBURG</t>
  </si>
  <si>
    <t>ST.PETERS BY THE LAKE</t>
  </si>
  <si>
    <t>NEW GERMANY</t>
  </si>
  <si>
    <t>WESTRAND</t>
  </si>
  <si>
    <t>MIDRAND/KELVIN</t>
  </si>
  <si>
    <t>BETHANIEN</t>
  </si>
  <si>
    <t>HERMANNSBURG</t>
  </si>
  <si>
    <t>W</t>
  </si>
  <si>
    <t>HARBURG</t>
  </si>
  <si>
    <t>PIET RETIEF</t>
  </si>
  <si>
    <t>WARTBURG</t>
  </si>
  <si>
    <t>BRAUNSCHWEIG</t>
  </si>
  <si>
    <t>X</t>
  </si>
  <si>
    <t>TRINITY ZULULAND</t>
  </si>
  <si>
    <t>MISSION</t>
  </si>
  <si>
    <t>Y</t>
  </si>
  <si>
    <t>YOUTH PASTOR-FINANCED BY KZN CONGREGATIONS</t>
  </si>
  <si>
    <t>%-age</t>
  </si>
  <si>
    <t xml:space="preserve">increase </t>
  </si>
  <si>
    <t>NOTES :</t>
  </si>
  <si>
    <t>O</t>
  </si>
  <si>
    <t>YOUTH</t>
  </si>
  <si>
    <t>PASTOR</t>
  </si>
  <si>
    <t>VERDEN / DUNDEE</t>
  </si>
  <si>
    <t>MOORLEIGH / WINTERTON</t>
  </si>
  <si>
    <t>AVE. COST</t>
  </si>
  <si>
    <t>OF</t>
  </si>
  <si>
    <t>HILLCREST</t>
  </si>
  <si>
    <t>FUNDED</t>
  </si>
  <si>
    <t>BY</t>
  </si>
  <si>
    <t>SOLIDARITY</t>
  </si>
  <si>
    <t>ADDITIONAL SOLIDARITY</t>
  </si>
  <si>
    <t>Z</t>
  </si>
  <si>
    <t>PROPOSED</t>
  </si>
  <si>
    <t>SUBSIDIES</t>
  </si>
  <si>
    <t>SOLIDARITY SUBSIDIES TO CONGREGATIONS</t>
  </si>
  <si>
    <t>KZN</t>
  </si>
  <si>
    <t>V</t>
  </si>
  <si>
    <t>ADDITIONAL SOLIDARITY TO BALANCE BUDGET</t>
  </si>
  <si>
    <t>HMB SCHOOL PASTOR HALF POST PAID BY SOLIDARITY</t>
  </si>
  <si>
    <t>PRESCRIBED</t>
  </si>
  <si>
    <t>NET AMT</t>
  </si>
  <si>
    <t>PIETERMARITZBURG</t>
  </si>
  <si>
    <t>JOHANNESBURG CHURCH OF PEACE</t>
  </si>
  <si>
    <t>VANDERBIJLPARK</t>
  </si>
  <si>
    <t>NEW HANNOVER</t>
  </si>
  <si>
    <t>NELSPRUIT</t>
  </si>
  <si>
    <t>YOUTH PASTOR KZN</t>
  </si>
  <si>
    <t>P</t>
  </si>
  <si>
    <t>ENVISAGED SUBSIDIES</t>
  </si>
  <si>
    <t>= X + Y</t>
  </si>
  <si>
    <t>SCHEDULE  2</t>
  </si>
  <si>
    <t>SCHEDULE  3</t>
  </si>
  <si>
    <t>DEUTSCHE SCHULE HERMANNSBURG</t>
  </si>
  <si>
    <t>DSH  PASTOR HALF POST PAID BY SOLIDARITY</t>
  </si>
  <si>
    <t>TRINITY</t>
  </si>
  <si>
    <t xml:space="preserve"> </t>
  </si>
  <si>
    <t>FACILITATOR</t>
  </si>
  <si>
    <t>+ PROGRAM</t>
  </si>
  <si>
    <t>CONTRIBUTIONS 2016</t>
  </si>
  <si>
    <t>CONTRIBUTIONS 2017</t>
  </si>
  <si>
    <t>over 2016</t>
  </si>
  <si>
    <t>over 2015</t>
  </si>
  <si>
    <t>Ave CoP</t>
  </si>
  <si>
    <t xml:space="preserve">incr </t>
  </si>
  <si>
    <t>%</t>
  </si>
  <si>
    <t>incr</t>
  </si>
  <si>
    <t>Averaged Increase</t>
  </si>
  <si>
    <t>Normal increase</t>
  </si>
  <si>
    <t>2016 increase is high compared to 2015 budget, but Salary was increased by 8% in 2015 with a budget of 6%</t>
  </si>
  <si>
    <t>The 2017 budgeted increase comes to 7,4%</t>
  </si>
  <si>
    <t>a</t>
  </si>
  <si>
    <t>b</t>
  </si>
  <si>
    <t>c</t>
  </si>
  <si>
    <t>d</t>
  </si>
  <si>
    <t>Description</t>
  </si>
  <si>
    <r>
      <t xml:space="preserve">2016 increase on </t>
    </r>
    <r>
      <rPr>
        <b/>
        <sz val="10"/>
        <rFont val="Arial"/>
        <family val="2"/>
      </rPr>
      <t>actual 2015</t>
    </r>
    <r>
      <rPr>
        <sz val="10"/>
        <rFont val="Arial"/>
        <family val="2"/>
      </rPr>
      <t xml:space="preserve"> is  approximately 7,5%</t>
    </r>
  </si>
  <si>
    <t>My suggestion is thus to average out the increases over the 2 years as per row 2 (averaged increase)</t>
  </si>
  <si>
    <t>Budgets:  Average Cost of Pastor's Post  2016.17 (includes bishop + PF)</t>
  </si>
  <si>
    <t>Budgets:  Average Cost of Pastor's Post  2016.17 (excluding bishop + PF)</t>
  </si>
  <si>
    <t>Average</t>
  </si>
  <si>
    <t>GERDAU/ POTCHEFSTROOM</t>
  </si>
  <si>
    <t>25% KZN Youth Hub Fund</t>
  </si>
  <si>
    <t>DUIWELSKLOOF/POLOKWANE</t>
  </si>
  <si>
    <t>ELCER (Ev.Luth Church East Rand)</t>
  </si>
  <si>
    <t>DELP (Durban/St Paul)</t>
  </si>
  <si>
    <t>29.09.15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</si>
</sst>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%"/>
    <numFmt numFmtId="165" formatCode="0.000%"/>
    <numFmt numFmtId="166" formatCode="0.00000000"/>
    <numFmt numFmtId="167" formatCode="0.0000000"/>
    <numFmt numFmtId="168" formatCode="_ * #,##0.0_ ;_ * \-#,##0.0_ ;_ * &quot;-&quot;??_ ;_ @_ "/>
    <numFmt numFmtId="169" formatCode="_ * #,##0_ ;_ * \-#,##0_ ;_ * &quot;-&quot;??_ ;_ @_ "/>
    <numFmt numFmtId="170" formatCode="_ [$R-1C09]\ * #,##0.00_ ;_ [$R-1C09]\ * \-#,##0.00_ ;_ [$R-1C09]\ * &quot;-&quot;??_ ;_ @_ "/>
    <numFmt numFmtId="171" formatCode="_ [$R-1C09]\ * #,##0.0_ ;_ [$R-1C09]\ * \-#,##0.0_ ;_ [$R-1C09]\ * &quot;-&quot;??_ ;_ @_ "/>
    <numFmt numFmtId="172" formatCode="_ [$R-1C09]\ * #,##0_ ;_ [$R-1C09]\ * \-#,##0_ ;_ [$R-1C09]\ * &quot;-&quot;??_ ;_ @_ "/>
    <numFmt numFmtId="173" formatCode="0.0000%"/>
  </numFmts>
  <fonts count="40">
    <font>
      <sz val="12"/>
      <name val="Arial"/>
      <family val="0"/>
    </font>
    <font>
      <sz val="11"/>
      <color indexed="8"/>
      <name val="Calibri"/>
      <family val="2"/>
    </font>
    <font>
      <sz val="12"/>
      <name val="Arial MT"/>
      <family val="0"/>
    </font>
    <font>
      <sz val="14"/>
      <name val="Arial MT"/>
      <family val="0"/>
    </font>
    <font>
      <b/>
      <sz val="14"/>
      <name val="Arial MT"/>
      <family val="0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 MT"/>
      <family val="0"/>
    </font>
    <font>
      <b/>
      <sz val="11"/>
      <name val="Arial MT"/>
      <family val="0"/>
    </font>
    <font>
      <sz val="11"/>
      <name val="Arial MT"/>
      <family val="0"/>
    </font>
    <font>
      <sz val="10"/>
      <name val="Arial MT"/>
      <family val="0"/>
    </font>
    <font>
      <sz val="12"/>
      <color indexed="10"/>
      <name val="Arial MT"/>
      <family val="0"/>
    </font>
    <font>
      <b/>
      <sz val="12"/>
      <color indexed="12"/>
      <name val="Arial MT"/>
      <family val="0"/>
    </font>
    <font>
      <b/>
      <sz val="12"/>
      <color indexed="10"/>
      <name val="Arial MT"/>
      <family val="0"/>
    </font>
    <font>
      <b/>
      <sz val="16"/>
      <name val="Arial MT"/>
      <family val="0"/>
    </font>
    <font>
      <u val="single"/>
      <sz val="14"/>
      <name val="Arial MT"/>
      <family val="0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double"/>
    </border>
    <border>
      <left style="thin"/>
      <right style="thin"/>
      <top/>
      <bottom style="double"/>
    </border>
    <border>
      <left/>
      <right/>
      <top style="double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>
        <color indexed="8"/>
      </left>
      <right style="thin"/>
      <top/>
      <bottom style="double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double"/>
      <bottom style="medium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/>
      <right style="thin"/>
      <top/>
      <bottom style="double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>
        <color indexed="8"/>
      </top>
      <bottom style="medium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medium"/>
    </border>
    <border>
      <left style="double"/>
      <right/>
      <top/>
      <bottom style="double"/>
    </border>
    <border>
      <left style="thin"/>
      <right/>
      <top style="thin"/>
      <bottom style="medium"/>
    </border>
    <border>
      <left/>
      <right style="thin"/>
      <top style="medium"/>
      <bottom style="double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/>
      <bottom style="double"/>
    </border>
    <border>
      <left/>
      <right style="thin">
        <color indexed="8"/>
      </right>
      <top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 style="double"/>
      <bottom style="thin"/>
    </border>
    <border>
      <left style="thin"/>
      <right style="thin"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7" xfId="0" applyNumberFormat="1" applyFont="1" applyBorder="1" applyAlignment="1">
      <alignment/>
    </xf>
    <xf numFmtId="0" fontId="2" fillId="0" borderId="12" xfId="0" applyFont="1" applyBorder="1" applyAlignment="1" quotePrefix="1">
      <alignment horizontal="center"/>
    </xf>
    <xf numFmtId="0" fontId="2" fillId="0" borderId="18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64" fontId="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7" xfId="0" applyFont="1" applyBorder="1" applyAlignment="1">
      <alignment/>
    </xf>
    <xf numFmtId="15" fontId="4" fillId="0" borderId="0" xfId="0" applyNumberFormat="1" applyFont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Continuous"/>
    </xf>
    <xf numFmtId="3" fontId="13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1" xfId="0" applyNumberFormat="1" applyFont="1" applyFill="1" applyBorder="1" applyAlignment="1">
      <alignment/>
    </xf>
    <xf numFmtId="9" fontId="2" fillId="0" borderId="12" xfId="0" applyNumberFormat="1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Fill="1" applyBorder="1" applyAlignment="1">
      <alignment horizontal="centerContinuous"/>
    </xf>
    <xf numFmtId="9" fontId="2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28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8" fillId="0" borderId="31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/>
    </xf>
    <xf numFmtId="0" fontId="2" fillId="0" borderId="12" xfId="0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/>
    </xf>
    <xf numFmtId="3" fontId="8" fillId="0" borderId="33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8" fillId="0" borderId="35" xfId="0" applyNumberFormat="1" applyFont="1" applyFill="1" applyBorder="1" applyAlignment="1">
      <alignment/>
    </xf>
    <xf numFmtId="3" fontId="2" fillId="0" borderId="32" xfId="0" applyNumberFormat="1" applyFont="1" applyBorder="1" applyAlignment="1">
      <alignment horizontal="center"/>
    </xf>
    <xf numFmtId="3" fontId="8" fillId="0" borderId="35" xfId="0" applyNumberFormat="1" applyFont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 horizontal="center"/>
    </xf>
    <xf numFmtId="3" fontId="2" fillId="0" borderId="41" xfId="0" applyNumberFormat="1" applyFont="1" applyFill="1" applyBorder="1" applyAlignment="1">
      <alignment/>
    </xf>
    <xf numFmtId="164" fontId="2" fillId="0" borderId="42" xfId="0" applyNumberFormat="1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/>
    </xf>
    <xf numFmtId="164" fontId="2" fillId="0" borderId="44" xfId="0" applyNumberFormat="1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3" fontId="2" fillId="0" borderId="46" xfId="0" applyNumberFormat="1" applyFont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2" fillId="0" borderId="32" xfId="0" applyNumberFormat="1" applyFont="1" applyBorder="1" applyAlignment="1">
      <alignment horizontal="center"/>
    </xf>
    <xf numFmtId="3" fontId="8" fillId="0" borderId="47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164" fontId="2" fillId="0" borderId="48" xfId="0" applyNumberFormat="1" applyFont="1" applyBorder="1" applyAlignment="1">
      <alignment horizontal="center"/>
    </xf>
    <xf numFmtId="10" fontId="2" fillId="0" borderId="49" xfId="0" applyNumberFormat="1" applyFont="1" applyBorder="1" applyAlignment="1">
      <alignment horizontal="center"/>
    </xf>
    <xf numFmtId="10" fontId="2" fillId="0" borderId="50" xfId="0" applyNumberFormat="1" applyFont="1" applyBorder="1" applyAlignment="1">
      <alignment horizontal="center"/>
    </xf>
    <xf numFmtId="10" fontId="2" fillId="0" borderId="50" xfId="0" applyNumberFormat="1" applyFont="1" applyFill="1" applyBorder="1" applyAlignment="1">
      <alignment horizontal="center"/>
    </xf>
    <xf numFmtId="10" fontId="2" fillId="0" borderId="51" xfId="0" applyNumberFormat="1" applyFont="1" applyBorder="1" applyAlignment="1">
      <alignment horizontal="center"/>
    </xf>
    <xf numFmtId="10" fontId="2" fillId="0" borderId="52" xfId="0" applyNumberFormat="1" applyFont="1" applyBorder="1" applyAlignment="1">
      <alignment horizontal="center"/>
    </xf>
    <xf numFmtId="10" fontId="2" fillId="0" borderId="52" xfId="0" applyNumberFormat="1" applyFont="1" applyFill="1" applyBorder="1" applyAlignment="1">
      <alignment horizontal="center"/>
    </xf>
    <xf numFmtId="10" fontId="2" fillId="0" borderId="53" xfId="0" applyNumberFormat="1" applyFont="1" applyBorder="1" applyAlignment="1">
      <alignment horizontal="center"/>
    </xf>
    <xf numFmtId="10" fontId="2" fillId="0" borderId="40" xfId="0" applyNumberFormat="1" applyFont="1" applyBorder="1" applyAlignment="1">
      <alignment horizontal="center"/>
    </xf>
    <xf numFmtId="10" fontId="2" fillId="0" borderId="42" xfId="0" applyNumberFormat="1" applyFont="1" applyFill="1" applyBorder="1" applyAlignment="1">
      <alignment horizontal="center"/>
    </xf>
    <xf numFmtId="10" fontId="2" fillId="0" borderId="44" xfId="0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54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2" fillId="0" borderId="55" xfId="0" applyNumberFormat="1" applyFont="1" applyFill="1" applyBorder="1" applyAlignment="1">
      <alignment/>
    </xf>
    <xf numFmtId="3" fontId="2" fillId="24" borderId="13" xfId="0" applyNumberFormat="1" applyFont="1" applyFill="1" applyBorder="1" applyAlignment="1">
      <alignment horizontal="center"/>
    </xf>
    <xf numFmtId="3" fontId="2" fillId="24" borderId="13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164" fontId="11" fillId="0" borderId="0" xfId="57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1" fillId="20" borderId="56" xfId="0" applyFont="1" applyFill="1" applyBorder="1" applyAlignment="1">
      <alignment horizontal="center"/>
    </xf>
    <xf numFmtId="0" fontId="21" fillId="20" borderId="26" xfId="0" applyFont="1" applyFill="1" applyBorder="1" applyAlignment="1">
      <alignment horizontal="center"/>
    </xf>
    <xf numFmtId="0" fontId="0" fillId="20" borderId="56" xfId="0" applyFill="1" applyBorder="1" applyAlignment="1">
      <alignment/>
    </xf>
    <xf numFmtId="0" fontId="21" fillId="20" borderId="26" xfId="0" applyFont="1" applyFill="1" applyBorder="1" applyAlignment="1">
      <alignment/>
    </xf>
    <xf numFmtId="0" fontId="5" fillId="0" borderId="0" xfId="0" applyFont="1" applyAlignment="1">
      <alignment/>
    </xf>
    <xf numFmtId="172" fontId="21" fillId="0" borderId="56" xfId="42" applyNumberFormat="1" applyFont="1" applyBorder="1" applyAlignment="1">
      <alignment/>
    </xf>
    <xf numFmtId="172" fontId="21" fillId="0" borderId="57" xfId="42" applyNumberFormat="1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56" xfId="0" applyFont="1" applyBorder="1" applyAlignment="1">
      <alignment/>
    </xf>
    <xf numFmtId="0" fontId="21" fillId="0" borderId="57" xfId="0" applyFont="1" applyBorder="1" applyAlignment="1">
      <alignment/>
    </xf>
    <xf numFmtId="171" fontId="21" fillId="0" borderId="56" xfId="42" applyNumberFormat="1" applyFont="1" applyBorder="1" applyAlignment="1">
      <alignment/>
    </xf>
    <xf numFmtId="171" fontId="21" fillId="0" borderId="57" xfId="42" applyNumberFormat="1" applyFont="1" applyBorder="1" applyAlignment="1">
      <alignment/>
    </xf>
    <xf numFmtId="0" fontId="11" fillId="0" borderId="26" xfId="0" applyFont="1" applyBorder="1" applyAlignment="1">
      <alignment/>
    </xf>
    <xf numFmtId="164" fontId="11" fillId="0" borderId="56" xfId="57" applyNumberFormat="1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164" fontId="21" fillId="0" borderId="56" xfId="57" applyNumberFormat="1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164" fontId="21" fillId="25" borderId="57" xfId="57" applyNumberFormat="1" applyFont="1" applyFill="1" applyBorder="1" applyAlignment="1">
      <alignment horizontal="center"/>
    </xf>
    <xf numFmtId="10" fontId="21" fillId="25" borderId="57" xfId="57" applyNumberFormat="1" applyFont="1" applyFill="1" applyBorder="1" applyAlignment="1">
      <alignment horizontal="center"/>
    </xf>
    <xf numFmtId="3" fontId="2" fillId="26" borderId="0" xfId="0" applyNumberFormat="1" applyFont="1" applyFill="1" applyAlignment="1">
      <alignment horizontal="center"/>
    </xf>
    <xf numFmtId="0" fontId="2" fillId="26" borderId="0" xfId="0" applyFont="1" applyFill="1" applyAlignment="1">
      <alignment horizontal="center"/>
    </xf>
    <xf numFmtId="0" fontId="2" fillId="26" borderId="0" xfId="0" applyFont="1" applyFill="1" applyAlignment="1">
      <alignment horizontal="center"/>
    </xf>
    <xf numFmtId="3" fontId="2" fillId="0" borderId="58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 horizontal="center"/>
    </xf>
    <xf numFmtId="3" fontId="2" fillId="0" borderId="54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3" fontId="8" fillId="0" borderId="60" xfId="0" applyNumberFormat="1" applyFont="1" applyFill="1" applyBorder="1" applyAlignment="1" applyProtection="1">
      <alignment/>
      <protection/>
    </xf>
    <xf numFmtId="0" fontId="8" fillId="0" borderId="18" xfId="0" applyFont="1" applyFill="1" applyBorder="1" applyAlignment="1">
      <alignment horizontal="left"/>
    </xf>
    <xf numFmtId="0" fontId="2" fillId="0" borderId="61" xfId="0" applyFont="1" applyFill="1" applyBorder="1" applyAlignment="1">
      <alignment horizontal="right"/>
    </xf>
    <xf numFmtId="0" fontId="8" fillId="0" borderId="18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3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28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2" fillId="0" borderId="61" xfId="0" applyFont="1" applyFill="1" applyBorder="1" applyAlignment="1">
      <alignment horizontal="right"/>
    </xf>
    <xf numFmtId="0" fontId="2" fillId="0" borderId="62" xfId="0" applyFont="1" applyFill="1" applyBorder="1" applyAlignment="1">
      <alignment/>
    </xf>
    <xf numFmtId="0" fontId="2" fillId="0" borderId="17" xfId="0" applyFont="1" applyFill="1" applyBorder="1" applyAlignment="1">
      <alignment horizontal="right"/>
    </xf>
    <xf numFmtId="3" fontId="2" fillId="0" borderId="48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tabSelected="1" zoomScale="75" zoomScaleNormal="75" zoomScaleSheetLayoutView="50" zoomScalePageLayoutView="0" workbookViewId="0" topLeftCell="A1">
      <selection activeCell="A1" sqref="A1"/>
    </sheetView>
  </sheetViews>
  <sheetFormatPr defaultColWidth="8.88671875" defaultRowHeight="15"/>
  <cols>
    <col min="1" max="1" width="33.10546875" style="1" customWidth="1"/>
    <col min="2" max="2" width="6.4453125" style="1" customWidth="1"/>
    <col min="3" max="3" width="12.4453125" style="1" customWidth="1"/>
    <col min="4" max="4" width="10.3359375" style="1" customWidth="1"/>
    <col min="5" max="5" width="11.5546875" style="1" customWidth="1"/>
    <col min="6" max="6" width="11.21484375" style="1" customWidth="1"/>
    <col min="7" max="7" width="3.21484375" style="1" customWidth="1"/>
    <col min="8" max="8" width="12.10546875" style="1" customWidth="1"/>
    <col min="9" max="9" width="8.3359375" style="1" customWidth="1"/>
    <col min="10" max="10" width="7.77734375" style="1" customWidth="1"/>
    <col min="11" max="11" width="11.5546875" style="1" customWidth="1"/>
    <col min="12" max="12" width="11.10546875" style="1" customWidth="1"/>
    <col min="13" max="13" width="8.77734375" style="1" customWidth="1"/>
    <col min="14" max="14" width="9.10546875" style="1" customWidth="1"/>
    <col min="15" max="15" width="13.21484375" style="1" customWidth="1"/>
    <col min="16" max="16" width="12.6640625" style="1" customWidth="1"/>
    <col min="17" max="19" width="8.88671875" style="1" customWidth="1"/>
    <col min="20" max="20" width="12.4453125" style="1" bestFit="1" customWidth="1"/>
    <col min="21" max="16384" width="8.88671875" style="1" customWidth="1"/>
  </cols>
  <sheetData>
    <row r="1" spans="1:16" ht="20.25">
      <c r="A1" s="46" t="s">
        <v>0</v>
      </c>
      <c r="B1"/>
      <c r="C1"/>
      <c r="D1"/>
      <c r="E1"/>
      <c r="F1"/>
      <c r="G1"/>
      <c r="H1"/>
      <c r="I1"/>
      <c r="K1"/>
      <c r="M1" s="7" t="s">
        <v>81</v>
      </c>
      <c r="N1" s="41"/>
      <c r="O1" s="167" t="str">
        <f>+E3</f>
        <v>29.09.15</v>
      </c>
      <c r="P1" s="137"/>
    </row>
    <row r="2" spans="1:15" ht="17.25" customHeight="1">
      <c r="A2"/>
      <c r="O2" s="1" t="s">
        <v>110</v>
      </c>
    </row>
    <row r="3" spans="1:13" ht="18">
      <c r="A3" s="47" t="s">
        <v>89</v>
      </c>
      <c r="C3" s="140">
        <f>+P1</f>
        <v>0</v>
      </c>
      <c r="D3" s="137"/>
      <c r="E3" s="167" t="s">
        <v>116</v>
      </c>
      <c r="K3" s="3"/>
      <c r="L3" s="6"/>
      <c r="M3" s="6"/>
    </row>
    <row r="4" spans="1:16" ht="15.75" thickBo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50</v>
      </c>
      <c r="P4" s="6" t="s">
        <v>78</v>
      </c>
    </row>
    <row r="5" spans="1:16" ht="16.5" thickTop="1">
      <c r="A5" s="61"/>
      <c r="B5" s="15"/>
      <c r="C5" s="15" t="s">
        <v>55</v>
      </c>
      <c r="D5" s="15" t="s">
        <v>16</v>
      </c>
      <c r="E5" s="15" t="s">
        <v>18</v>
      </c>
      <c r="F5" s="15" t="s">
        <v>63</v>
      </c>
      <c r="G5" s="15"/>
      <c r="H5" s="15" t="s">
        <v>70</v>
      </c>
      <c r="I5" s="15" t="s">
        <v>19</v>
      </c>
      <c r="J5" s="62"/>
      <c r="K5" s="15" t="s">
        <v>71</v>
      </c>
      <c r="L5" s="15" t="s">
        <v>20</v>
      </c>
      <c r="M5" s="16">
        <f>+K8</f>
        <v>2016</v>
      </c>
      <c r="N5" s="54">
        <v>0.5</v>
      </c>
      <c r="O5" s="15" t="s">
        <v>18</v>
      </c>
      <c r="P5" s="36" t="s">
        <v>18</v>
      </c>
    </row>
    <row r="6" spans="1:16" ht="15.75">
      <c r="A6" s="63" t="s">
        <v>23</v>
      </c>
      <c r="B6" s="17" t="s">
        <v>15</v>
      </c>
      <c r="C6" s="17" t="s">
        <v>56</v>
      </c>
      <c r="D6" s="25" t="s">
        <v>88</v>
      </c>
      <c r="E6" s="17" t="s">
        <v>17</v>
      </c>
      <c r="F6" s="17" t="s">
        <v>60</v>
      </c>
      <c r="G6" s="25"/>
      <c r="H6" s="17" t="s">
        <v>21</v>
      </c>
      <c r="I6" s="17" t="s">
        <v>58</v>
      </c>
      <c r="J6" s="64"/>
      <c r="K6" s="17" t="s">
        <v>22</v>
      </c>
      <c r="L6" s="17" t="s">
        <v>21</v>
      </c>
      <c r="M6" s="18" t="s">
        <v>47</v>
      </c>
      <c r="N6" s="55" t="s">
        <v>51</v>
      </c>
      <c r="O6" s="17" t="s">
        <v>21</v>
      </c>
      <c r="P6" s="37" t="s">
        <v>60</v>
      </c>
    </row>
    <row r="7" spans="1:16" ht="15.75">
      <c r="A7" s="63"/>
      <c r="B7" s="63"/>
      <c r="C7" s="17" t="s">
        <v>52</v>
      </c>
      <c r="D7" s="63" t="s">
        <v>87</v>
      </c>
      <c r="E7" s="17"/>
      <c r="F7" s="17" t="s">
        <v>64</v>
      </c>
      <c r="G7" s="17"/>
      <c r="H7" s="17" t="s">
        <v>22</v>
      </c>
      <c r="I7" s="17" t="s">
        <v>59</v>
      </c>
      <c r="J7" s="17"/>
      <c r="K7" s="92"/>
      <c r="L7" s="17" t="s">
        <v>22</v>
      </c>
      <c r="M7" s="18" t="s">
        <v>48</v>
      </c>
      <c r="N7" s="55" t="s">
        <v>66</v>
      </c>
      <c r="O7" s="17" t="s">
        <v>22</v>
      </c>
      <c r="P7" s="37" t="s">
        <v>62</v>
      </c>
    </row>
    <row r="8" spans="1:16" ht="16.5" thickBot="1">
      <c r="A8" s="65"/>
      <c r="B8" s="65"/>
      <c r="C8" s="142">
        <v>472000</v>
      </c>
      <c r="D8" s="139">
        <f>+C8*2</f>
        <v>944000</v>
      </c>
      <c r="E8" s="97">
        <v>2016</v>
      </c>
      <c r="F8" s="97">
        <f>+E8</f>
        <v>2016</v>
      </c>
      <c r="G8" s="97"/>
      <c r="H8" s="97">
        <f>+E8</f>
        <v>2016</v>
      </c>
      <c r="I8" s="97" t="s">
        <v>44</v>
      </c>
      <c r="J8" s="97"/>
      <c r="K8" s="19">
        <f>+E8</f>
        <v>2016</v>
      </c>
      <c r="L8" s="19">
        <f>+E8-1</f>
        <v>2015</v>
      </c>
      <c r="M8" s="20" t="s">
        <v>92</v>
      </c>
      <c r="N8" s="66">
        <f>+E41*2</f>
        <v>252219.93127147766</v>
      </c>
      <c r="O8" s="19">
        <f>+E8</f>
        <v>2016</v>
      </c>
      <c r="P8" s="38"/>
    </row>
    <row r="9" spans="1:16" ht="17.25" thickBot="1" thickTop="1">
      <c r="A9" s="8"/>
      <c r="B9" s="8"/>
      <c r="C9" s="136">
        <f>+M10</f>
        <v>0.09587282630389342</v>
      </c>
      <c r="D9" s="74"/>
      <c r="E9" s="74"/>
      <c r="F9" s="74"/>
      <c r="G9" s="74"/>
      <c r="H9" s="74"/>
      <c r="I9" s="74"/>
      <c r="J9" s="74"/>
      <c r="K9" s="8"/>
      <c r="N9" s="8"/>
      <c r="O9" s="42"/>
      <c r="P9" s="39"/>
    </row>
    <row r="10" spans="1:16" ht="15.75">
      <c r="A10" s="60" t="s">
        <v>30</v>
      </c>
      <c r="B10" s="60">
        <v>1</v>
      </c>
      <c r="C10" s="67">
        <f>+$C$8*B10</f>
        <v>472000</v>
      </c>
      <c r="D10" s="67">
        <f aca="true" t="shared" si="0" ref="D10:D41">+$D$8/$B$43*B10</f>
        <v>32439.862542955325</v>
      </c>
      <c r="E10" s="67">
        <f aca="true" t="shared" si="1" ref="E10:E41">SUM(C10:D10)</f>
        <v>504439.8625429553</v>
      </c>
      <c r="F10" s="67"/>
      <c r="G10" s="67"/>
      <c r="H10" s="67">
        <f aca="true" t="shared" si="2" ref="H10:H41">+E10-F10</f>
        <v>504439.8625429553</v>
      </c>
      <c r="I10" s="67"/>
      <c r="J10" s="67"/>
      <c r="K10" s="28">
        <f aca="true" t="shared" si="3" ref="K10:K41">+H10-I10-J10</f>
        <v>504439.8625429553</v>
      </c>
      <c r="L10" s="67">
        <v>460308.7606837607</v>
      </c>
      <c r="M10" s="126">
        <f>+(K10-L10)/L10</f>
        <v>0.09587282630389342</v>
      </c>
      <c r="N10" s="80">
        <f>+$N$8/16</f>
        <v>15763.745704467354</v>
      </c>
      <c r="O10" s="58">
        <f aca="true" t="shared" si="4" ref="O10:O40">+N10+K10</f>
        <v>520203.6082474227</v>
      </c>
      <c r="P10" s="57" t="s">
        <v>60</v>
      </c>
    </row>
    <row r="11" spans="1:16" ht="15.75">
      <c r="A11" s="60" t="s">
        <v>35</v>
      </c>
      <c r="B11" s="60">
        <v>1</v>
      </c>
      <c r="C11" s="67">
        <f>+$C$8*B11</f>
        <v>472000</v>
      </c>
      <c r="D11" s="67">
        <f t="shared" si="0"/>
        <v>32439.862542955325</v>
      </c>
      <c r="E11" s="67">
        <f t="shared" si="1"/>
        <v>504439.8625429553</v>
      </c>
      <c r="F11" s="67"/>
      <c r="G11" s="67"/>
      <c r="H11" s="67">
        <f t="shared" si="2"/>
        <v>504439.8625429553</v>
      </c>
      <c r="I11" s="67"/>
      <c r="J11" s="67"/>
      <c r="K11" s="28">
        <f t="shared" si="3"/>
        <v>504439.8625429553</v>
      </c>
      <c r="L11" s="67">
        <v>460308.7606837607</v>
      </c>
      <c r="M11" s="127">
        <f>+(K11-L11)/L11</f>
        <v>0.09587282630389342</v>
      </c>
      <c r="N11" s="80">
        <f>+$N$8/16</f>
        <v>15763.745704467354</v>
      </c>
      <c r="O11" s="58">
        <f t="shared" si="4"/>
        <v>520203.6082474227</v>
      </c>
      <c r="P11" s="57" t="s">
        <v>60</v>
      </c>
    </row>
    <row r="12" spans="1:16" ht="15.75">
      <c r="A12" s="78" t="s">
        <v>41</v>
      </c>
      <c r="B12" s="78">
        <v>1</v>
      </c>
      <c r="C12" s="67">
        <f>+$C$8*B12</f>
        <v>472000</v>
      </c>
      <c r="D12" s="67">
        <f t="shared" si="0"/>
        <v>32439.862542955325</v>
      </c>
      <c r="E12" s="67">
        <f t="shared" si="1"/>
        <v>504439.8625429553</v>
      </c>
      <c r="F12" s="67"/>
      <c r="G12" s="75"/>
      <c r="H12" s="67">
        <f t="shared" si="2"/>
        <v>504439.8625429553</v>
      </c>
      <c r="I12" s="67"/>
      <c r="J12" s="67"/>
      <c r="K12" s="28">
        <f t="shared" si="3"/>
        <v>504439.8625429553</v>
      </c>
      <c r="L12" s="67">
        <v>460308.7606837607</v>
      </c>
      <c r="M12" s="127">
        <f>+(K12-L12)/L12</f>
        <v>0.09587282630389342</v>
      </c>
      <c r="N12" s="80">
        <f>+$N$8/16</f>
        <v>15763.745704467354</v>
      </c>
      <c r="O12" s="58">
        <f t="shared" si="4"/>
        <v>520203.6082474227</v>
      </c>
      <c r="P12" s="57" t="s">
        <v>60</v>
      </c>
    </row>
    <row r="13" spans="1:16" ht="15.75">
      <c r="A13" s="78" t="s">
        <v>115</v>
      </c>
      <c r="B13" s="78">
        <v>1</v>
      </c>
      <c r="C13" s="67">
        <f>+$C$8*B13</f>
        <v>472000</v>
      </c>
      <c r="D13" s="67">
        <f t="shared" si="0"/>
        <v>32439.862542955325</v>
      </c>
      <c r="E13" s="67">
        <f t="shared" si="1"/>
        <v>504439.8625429553</v>
      </c>
      <c r="F13" s="170"/>
      <c r="G13" s="49"/>
      <c r="H13" s="79">
        <f t="shared" si="2"/>
        <v>504439.8625429553</v>
      </c>
      <c r="I13" s="67">
        <f>+H13*0.65</f>
        <v>327885.91065292095</v>
      </c>
      <c r="J13" s="67"/>
      <c r="K13" s="28">
        <f t="shared" si="3"/>
        <v>176553.95189003437</v>
      </c>
      <c r="L13" s="67">
        <v>161108</v>
      </c>
      <c r="M13" s="128">
        <f>+(K13-L13)/L13</f>
        <v>0.09587327687038737</v>
      </c>
      <c r="N13" s="80">
        <f>+$N$8/16</f>
        <v>15763.745704467354</v>
      </c>
      <c r="O13" s="58">
        <f t="shared" si="4"/>
        <v>192317.69759450172</v>
      </c>
      <c r="P13" s="57" t="s">
        <v>60</v>
      </c>
    </row>
    <row r="14" spans="1:16" ht="15.75">
      <c r="A14" s="78" t="s">
        <v>83</v>
      </c>
      <c r="B14" s="78">
        <v>0.5</v>
      </c>
      <c r="C14" s="67">
        <f>+$C$8*B14</f>
        <v>236000</v>
      </c>
      <c r="D14" s="67">
        <f t="shared" si="0"/>
        <v>16219.931271477662</v>
      </c>
      <c r="E14" s="67">
        <f t="shared" si="1"/>
        <v>252219.93127147766</v>
      </c>
      <c r="F14" s="49">
        <f>E14</f>
        <v>252219.93127147766</v>
      </c>
      <c r="G14" s="77" t="s">
        <v>67</v>
      </c>
      <c r="H14" s="67">
        <f t="shared" si="2"/>
        <v>0</v>
      </c>
      <c r="I14" s="67"/>
      <c r="J14" s="67"/>
      <c r="K14" s="67">
        <f t="shared" si="3"/>
        <v>0</v>
      </c>
      <c r="L14" s="67">
        <v>0</v>
      </c>
      <c r="M14" s="128">
        <v>0</v>
      </c>
      <c r="N14" s="80"/>
      <c r="O14" s="80">
        <f t="shared" si="4"/>
        <v>0</v>
      </c>
      <c r="P14" s="57"/>
    </row>
    <row r="15" spans="1:18" ht="15.75">
      <c r="A15" s="78" t="s">
        <v>113</v>
      </c>
      <c r="B15" s="78">
        <v>0.1</v>
      </c>
      <c r="C15" s="67"/>
      <c r="D15" s="67">
        <f t="shared" si="0"/>
        <v>3243.9862542955325</v>
      </c>
      <c r="E15" s="67">
        <f t="shared" si="1"/>
        <v>3243.9862542955325</v>
      </c>
      <c r="F15" s="67"/>
      <c r="G15" s="75"/>
      <c r="H15" s="67">
        <f t="shared" si="2"/>
        <v>3243.9862542955325</v>
      </c>
      <c r="I15" s="67"/>
      <c r="J15" s="67"/>
      <c r="K15" s="67">
        <f t="shared" si="3"/>
        <v>3243.9862542955325</v>
      </c>
      <c r="L15" s="67">
        <v>195154.38034188034</v>
      </c>
      <c r="M15" s="128">
        <f aca="true" t="shared" si="5" ref="M15:M41">+(K15-L15)/L15</f>
        <v>-0.9833773331215391</v>
      </c>
      <c r="N15" s="80"/>
      <c r="O15" s="58">
        <f t="shared" si="4"/>
        <v>3243.9862542955325</v>
      </c>
      <c r="P15" s="57" t="s">
        <v>60</v>
      </c>
      <c r="R15" s="1">
        <v>502309</v>
      </c>
    </row>
    <row r="16" spans="1:16" ht="15.75">
      <c r="A16" s="78" t="s">
        <v>114</v>
      </c>
      <c r="B16" s="78">
        <v>1</v>
      </c>
      <c r="C16" s="67">
        <f aca="true" t="shared" si="6" ref="C16:C24">+$C$8*B16</f>
        <v>472000</v>
      </c>
      <c r="D16" s="67">
        <f t="shared" si="0"/>
        <v>32439.862542955325</v>
      </c>
      <c r="E16" s="67">
        <f t="shared" si="1"/>
        <v>504439.8625429553</v>
      </c>
      <c r="F16" s="67"/>
      <c r="G16" s="67"/>
      <c r="H16" s="67">
        <f t="shared" si="2"/>
        <v>504439.8625429553</v>
      </c>
      <c r="I16" s="67">
        <f>+H16*0.45</f>
        <v>226997.9381443299</v>
      </c>
      <c r="J16" s="67"/>
      <c r="K16" s="28">
        <f t="shared" si="3"/>
        <v>277441.9243986254</v>
      </c>
      <c r="L16" s="67">
        <f>460309/2</f>
        <v>230154.5</v>
      </c>
      <c r="M16" s="128">
        <f t="shared" si="5"/>
        <v>0.2054594822114075</v>
      </c>
      <c r="N16" s="80"/>
      <c r="O16" s="58">
        <f t="shared" si="4"/>
        <v>277441.9243986254</v>
      </c>
      <c r="P16" s="57" t="s">
        <v>60</v>
      </c>
    </row>
    <row r="17" spans="1:16" ht="15.75">
      <c r="A17" s="78" t="s">
        <v>111</v>
      </c>
      <c r="B17" s="78">
        <v>1</v>
      </c>
      <c r="C17" s="67">
        <f t="shared" si="6"/>
        <v>472000</v>
      </c>
      <c r="D17" s="67">
        <f t="shared" si="0"/>
        <v>32439.862542955325</v>
      </c>
      <c r="E17" s="67">
        <f t="shared" si="1"/>
        <v>504439.8625429553</v>
      </c>
      <c r="F17" s="81"/>
      <c r="G17" s="211"/>
      <c r="H17" s="67">
        <f t="shared" si="2"/>
        <v>504439.8625429553</v>
      </c>
      <c r="I17" s="67"/>
      <c r="J17" s="28"/>
      <c r="K17" s="28">
        <f t="shared" si="3"/>
        <v>504439.8625429553</v>
      </c>
      <c r="L17" s="67">
        <v>460308.7606837607</v>
      </c>
      <c r="M17" s="127">
        <f t="shared" si="5"/>
        <v>0.09587282630389342</v>
      </c>
      <c r="N17" s="80"/>
      <c r="O17" s="58">
        <f t="shared" si="4"/>
        <v>504439.8625429553</v>
      </c>
      <c r="P17" s="57" t="s">
        <v>60</v>
      </c>
    </row>
    <row r="18" spans="1:16" ht="15.75">
      <c r="A18" s="78" t="s">
        <v>38</v>
      </c>
      <c r="B18" s="78">
        <v>1</v>
      </c>
      <c r="C18" s="67">
        <f t="shared" si="6"/>
        <v>472000</v>
      </c>
      <c r="D18" s="67">
        <f t="shared" si="0"/>
        <v>32439.862542955325</v>
      </c>
      <c r="E18" s="67">
        <f t="shared" si="1"/>
        <v>504439.8625429553</v>
      </c>
      <c r="F18" s="76"/>
      <c r="G18" s="171"/>
      <c r="H18" s="67">
        <f t="shared" si="2"/>
        <v>504439.8625429553</v>
      </c>
      <c r="I18" s="67"/>
      <c r="J18" s="67"/>
      <c r="K18" s="28">
        <f t="shared" si="3"/>
        <v>504439.8625429553</v>
      </c>
      <c r="L18" s="67">
        <v>460308.760683761</v>
      </c>
      <c r="M18" s="128">
        <f t="shared" si="5"/>
        <v>0.09587282630389272</v>
      </c>
      <c r="N18" s="80">
        <f>+$N$8/16</f>
        <v>15763.745704467354</v>
      </c>
      <c r="O18" s="58">
        <f t="shared" si="4"/>
        <v>520203.6082474227</v>
      </c>
      <c r="P18" s="57" t="s">
        <v>60</v>
      </c>
    </row>
    <row r="19" spans="1:16" ht="15.75">
      <c r="A19" s="78" t="s">
        <v>36</v>
      </c>
      <c r="B19" s="78">
        <v>0.5</v>
      </c>
      <c r="C19" s="67">
        <f t="shared" si="6"/>
        <v>236000</v>
      </c>
      <c r="D19" s="67">
        <f t="shared" si="0"/>
        <v>16219.931271477662</v>
      </c>
      <c r="E19" s="67">
        <f t="shared" si="1"/>
        <v>252219.93127147766</v>
      </c>
      <c r="F19" s="49"/>
      <c r="G19" s="77"/>
      <c r="H19" s="67">
        <f t="shared" si="2"/>
        <v>252219.93127147766</v>
      </c>
      <c r="I19" s="67"/>
      <c r="J19" s="67"/>
      <c r="K19" s="67">
        <f t="shared" si="3"/>
        <v>252219.93127147766</v>
      </c>
      <c r="L19" s="67">
        <v>230154.38034188034</v>
      </c>
      <c r="M19" s="128">
        <f t="shared" si="5"/>
        <v>0.09587282630389342</v>
      </c>
      <c r="N19" s="80">
        <f>+$N$8/16</f>
        <v>15763.745704467354</v>
      </c>
      <c r="O19" s="80">
        <f t="shared" si="4"/>
        <v>267983.676975945</v>
      </c>
      <c r="P19" s="57" t="s">
        <v>60</v>
      </c>
    </row>
    <row r="20" spans="1:16" ht="15.75">
      <c r="A20" s="78" t="s">
        <v>57</v>
      </c>
      <c r="B20" s="78">
        <v>1</v>
      </c>
      <c r="C20" s="67">
        <f t="shared" si="6"/>
        <v>472000</v>
      </c>
      <c r="D20" s="67">
        <f t="shared" si="0"/>
        <v>32439.862542955325</v>
      </c>
      <c r="E20" s="67">
        <f t="shared" si="1"/>
        <v>504439.8625429553</v>
      </c>
      <c r="F20" s="67"/>
      <c r="G20" s="67"/>
      <c r="H20" s="67">
        <f t="shared" si="2"/>
        <v>504439.8625429553</v>
      </c>
      <c r="I20" s="67">
        <v>74520</v>
      </c>
      <c r="J20" s="67"/>
      <c r="K20" s="28">
        <f t="shared" si="3"/>
        <v>429919.8625429553</v>
      </c>
      <c r="L20" s="67">
        <v>360978.7606837607</v>
      </c>
      <c r="M20" s="128">
        <f t="shared" si="5"/>
        <v>0.1909838177974998</v>
      </c>
      <c r="N20" s="80">
        <f>+$N$8/16</f>
        <v>15763.745704467354</v>
      </c>
      <c r="O20" s="58">
        <f t="shared" si="4"/>
        <v>445683.6082474227</v>
      </c>
      <c r="P20" s="57" t="s">
        <v>60</v>
      </c>
    </row>
    <row r="21" spans="1:16" ht="15.75">
      <c r="A21" s="78" t="s">
        <v>73</v>
      </c>
      <c r="B21" s="78">
        <v>1</v>
      </c>
      <c r="C21" s="67">
        <f t="shared" si="6"/>
        <v>472000</v>
      </c>
      <c r="D21" s="67">
        <f t="shared" si="0"/>
        <v>32439.862542955325</v>
      </c>
      <c r="E21" s="67">
        <f t="shared" si="1"/>
        <v>504439.8625429553</v>
      </c>
      <c r="F21" s="67"/>
      <c r="G21" s="67"/>
      <c r="H21" s="67">
        <f t="shared" si="2"/>
        <v>504439.8625429553</v>
      </c>
      <c r="I21" s="67">
        <f>E21*0.45</f>
        <v>226997.9381443299</v>
      </c>
      <c r="J21" s="67"/>
      <c r="K21" s="28">
        <f t="shared" si="3"/>
        <v>277441.9243986254</v>
      </c>
      <c r="L21" s="67">
        <v>253169.81837606838</v>
      </c>
      <c r="M21" s="127">
        <f t="shared" si="5"/>
        <v>0.09587282630389328</v>
      </c>
      <c r="N21" s="103"/>
      <c r="O21" s="58">
        <f t="shared" si="4"/>
        <v>277441.9243986254</v>
      </c>
      <c r="P21" s="57" t="s">
        <v>60</v>
      </c>
    </row>
    <row r="22" spans="1:16" ht="15.75">
      <c r="A22" s="196" t="s">
        <v>28</v>
      </c>
      <c r="B22" s="196">
        <v>1</v>
      </c>
      <c r="C22" s="49">
        <f t="shared" si="6"/>
        <v>472000</v>
      </c>
      <c r="D22" s="67">
        <f t="shared" si="0"/>
        <v>32439.862542955325</v>
      </c>
      <c r="E22" s="49">
        <f t="shared" si="1"/>
        <v>504439.8625429553</v>
      </c>
      <c r="F22" s="49"/>
      <c r="G22" s="49"/>
      <c r="H22" s="67">
        <f t="shared" si="2"/>
        <v>504439.8625429553</v>
      </c>
      <c r="I22" s="49"/>
      <c r="J22" s="49"/>
      <c r="K22" s="28">
        <f t="shared" si="3"/>
        <v>504439.8625429553</v>
      </c>
      <c r="L22" s="67">
        <v>460308.7606837607</v>
      </c>
      <c r="M22" s="127">
        <f t="shared" si="5"/>
        <v>0.09587282630389342</v>
      </c>
      <c r="N22" s="58"/>
      <c r="O22" s="58">
        <f t="shared" si="4"/>
        <v>504439.8625429553</v>
      </c>
      <c r="P22" s="57" t="s">
        <v>60</v>
      </c>
    </row>
    <row r="23" spans="1:16" ht="15">
      <c r="A23" s="212" t="s">
        <v>27</v>
      </c>
      <c r="B23" s="196">
        <v>1</v>
      </c>
      <c r="C23" s="49">
        <f t="shared" si="6"/>
        <v>472000</v>
      </c>
      <c r="D23" s="67">
        <f t="shared" si="0"/>
        <v>32439.862542955325</v>
      </c>
      <c r="E23" s="49">
        <f t="shared" si="1"/>
        <v>504439.8625429553</v>
      </c>
      <c r="F23" s="49"/>
      <c r="G23" s="49"/>
      <c r="H23" s="67">
        <f t="shared" si="2"/>
        <v>504439.8625429553</v>
      </c>
      <c r="I23" s="49"/>
      <c r="J23" s="49"/>
      <c r="K23" s="28">
        <f t="shared" si="3"/>
        <v>504439.8625429553</v>
      </c>
      <c r="L23" s="67">
        <v>460308.7606837607</v>
      </c>
      <c r="M23" s="127">
        <f t="shared" si="5"/>
        <v>0.09587282630389342</v>
      </c>
      <c r="N23" s="80"/>
      <c r="O23" s="58">
        <f t="shared" si="4"/>
        <v>504439.8625429553</v>
      </c>
      <c r="P23" s="57" t="s">
        <v>60</v>
      </c>
    </row>
    <row r="24" spans="1:16" ht="15">
      <c r="A24" s="213" t="s">
        <v>34</v>
      </c>
      <c r="B24" s="196">
        <v>1</v>
      </c>
      <c r="C24" s="49">
        <f t="shared" si="6"/>
        <v>472000</v>
      </c>
      <c r="D24" s="67">
        <f t="shared" si="0"/>
        <v>32439.862542955325</v>
      </c>
      <c r="E24" s="49">
        <f t="shared" si="1"/>
        <v>504439.8625429553</v>
      </c>
      <c r="F24" s="49"/>
      <c r="G24" s="49"/>
      <c r="H24" s="67">
        <f t="shared" si="2"/>
        <v>504439.8625429553</v>
      </c>
      <c r="I24" s="49"/>
      <c r="J24" s="49"/>
      <c r="K24" s="28">
        <f t="shared" si="3"/>
        <v>504439.8625429553</v>
      </c>
      <c r="L24" s="67">
        <v>455308.7606837607</v>
      </c>
      <c r="M24" s="127">
        <f t="shared" si="5"/>
        <v>0.10790721835752055</v>
      </c>
      <c r="N24" s="80"/>
      <c r="O24" s="58">
        <f t="shared" si="4"/>
        <v>504439.8625429553</v>
      </c>
      <c r="P24" s="57" t="s">
        <v>60</v>
      </c>
    </row>
    <row r="25" spans="1:16" ht="15">
      <c r="A25" s="78" t="s">
        <v>54</v>
      </c>
      <c r="B25" s="213">
        <v>0.75</v>
      </c>
      <c r="C25" s="76">
        <f>+C10*B25</f>
        <v>354000</v>
      </c>
      <c r="D25" s="67">
        <f t="shared" si="0"/>
        <v>24329.896907216495</v>
      </c>
      <c r="E25" s="76">
        <f t="shared" si="1"/>
        <v>378329.8969072165</v>
      </c>
      <c r="F25" s="76"/>
      <c r="G25" s="171"/>
      <c r="H25" s="67">
        <f t="shared" si="2"/>
        <v>378329.8969072165</v>
      </c>
      <c r="I25" s="76"/>
      <c r="J25" s="76"/>
      <c r="K25" s="28">
        <f t="shared" si="3"/>
        <v>378329.8969072165</v>
      </c>
      <c r="L25" s="67">
        <v>345231.5705128205</v>
      </c>
      <c r="M25" s="127">
        <f t="shared" si="5"/>
        <v>0.09587282630389356</v>
      </c>
      <c r="N25" s="80">
        <f>+$N$8/16</f>
        <v>15763.745704467354</v>
      </c>
      <c r="O25" s="58">
        <f t="shared" si="4"/>
        <v>394093.64261168387</v>
      </c>
      <c r="P25" s="57" t="s">
        <v>60</v>
      </c>
    </row>
    <row r="26" spans="1:16" ht="15">
      <c r="A26" s="78" t="s">
        <v>76</v>
      </c>
      <c r="B26" s="78">
        <v>0.5</v>
      </c>
      <c r="C26" s="67">
        <f aca="true" t="shared" si="7" ref="C26:C41">+$C$8*B26</f>
        <v>236000</v>
      </c>
      <c r="D26" s="67">
        <f t="shared" si="0"/>
        <v>16219.931271477662</v>
      </c>
      <c r="E26" s="67">
        <f t="shared" si="1"/>
        <v>252219.93127147766</v>
      </c>
      <c r="F26" s="67">
        <v>35000</v>
      </c>
      <c r="G26" s="75" t="s">
        <v>37</v>
      </c>
      <c r="H26" s="67">
        <f t="shared" si="2"/>
        <v>217219.93127147766</v>
      </c>
      <c r="I26" s="67"/>
      <c r="J26" s="67"/>
      <c r="K26" s="28">
        <f t="shared" si="3"/>
        <v>217219.93127147766</v>
      </c>
      <c r="L26" s="67">
        <v>195154.38034188034</v>
      </c>
      <c r="M26" s="127">
        <f t="shared" si="5"/>
        <v>0.11306715683727867</v>
      </c>
      <c r="N26" s="80"/>
      <c r="O26" s="58">
        <f t="shared" si="4"/>
        <v>217219.93127147766</v>
      </c>
      <c r="P26" s="57" t="s">
        <v>60</v>
      </c>
    </row>
    <row r="27" spans="1:16" ht="15">
      <c r="A27" s="78" t="s">
        <v>32</v>
      </c>
      <c r="B27" s="78">
        <v>1</v>
      </c>
      <c r="C27" s="67">
        <f t="shared" si="7"/>
        <v>472000</v>
      </c>
      <c r="D27" s="67">
        <f t="shared" si="0"/>
        <v>32439.862542955325</v>
      </c>
      <c r="E27" s="67">
        <f t="shared" si="1"/>
        <v>504439.8625429553</v>
      </c>
      <c r="F27" s="67"/>
      <c r="G27" s="67"/>
      <c r="H27" s="67">
        <f t="shared" si="2"/>
        <v>504439.8625429553</v>
      </c>
      <c r="I27" s="67"/>
      <c r="J27" s="67"/>
      <c r="K27" s="28">
        <f t="shared" si="3"/>
        <v>504439.8625429553</v>
      </c>
      <c r="L27" s="67">
        <v>460308.7606837607</v>
      </c>
      <c r="M27" s="127">
        <f t="shared" si="5"/>
        <v>0.09587282630389342</v>
      </c>
      <c r="N27" s="80">
        <f>+$N$8/16</f>
        <v>15763.745704467354</v>
      </c>
      <c r="O27" s="58">
        <f t="shared" si="4"/>
        <v>520203.6082474227</v>
      </c>
      <c r="P27" s="57" t="s">
        <v>60</v>
      </c>
    </row>
    <row r="28" spans="1:16" ht="15">
      <c r="A28" s="78" t="s">
        <v>75</v>
      </c>
      <c r="B28" s="78">
        <v>1</v>
      </c>
      <c r="C28" s="67">
        <f t="shared" si="7"/>
        <v>472000</v>
      </c>
      <c r="D28" s="67">
        <f t="shared" si="0"/>
        <v>32439.862542955325</v>
      </c>
      <c r="E28" s="67">
        <f t="shared" si="1"/>
        <v>504439.8625429553</v>
      </c>
      <c r="F28" s="67"/>
      <c r="G28" s="67"/>
      <c r="H28" s="67">
        <f t="shared" si="2"/>
        <v>504439.8625429553</v>
      </c>
      <c r="I28" s="67"/>
      <c r="J28" s="67"/>
      <c r="K28" s="28">
        <f t="shared" si="3"/>
        <v>504439.8625429553</v>
      </c>
      <c r="L28" s="67">
        <v>460308.7606837607</v>
      </c>
      <c r="M28" s="127">
        <f t="shared" si="5"/>
        <v>0.09587282630389342</v>
      </c>
      <c r="N28" s="80">
        <f>+$N$8/16</f>
        <v>15763.745704467354</v>
      </c>
      <c r="O28" s="58">
        <f t="shared" si="4"/>
        <v>520203.6082474227</v>
      </c>
      <c r="P28" s="57" t="s">
        <v>60</v>
      </c>
    </row>
    <row r="29" spans="1:16" ht="15">
      <c r="A29" s="196" t="s">
        <v>26</v>
      </c>
      <c r="B29" s="196">
        <v>1</v>
      </c>
      <c r="C29" s="49">
        <f t="shared" si="7"/>
        <v>472000</v>
      </c>
      <c r="D29" s="67">
        <f t="shared" si="0"/>
        <v>32439.862542955325</v>
      </c>
      <c r="E29" s="49">
        <f t="shared" si="1"/>
        <v>504439.8625429553</v>
      </c>
      <c r="F29" s="49"/>
      <c r="G29" s="49"/>
      <c r="H29" s="67">
        <f t="shared" si="2"/>
        <v>504439.8625429553</v>
      </c>
      <c r="I29" s="49"/>
      <c r="J29" s="49"/>
      <c r="K29" s="28">
        <f t="shared" si="3"/>
        <v>504439.8625429553</v>
      </c>
      <c r="L29" s="67">
        <v>460308.7606837607</v>
      </c>
      <c r="M29" s="127">
        <f t="shared" si="5"/>
        <v>0.09587282630389342</v>
      </c>
      <c r="N29" s="58"/>
      <c r="O29" s="58">
        <f t="shared" si="4"/>
        <v>504439.8625429553</v>
      </c>
      <c r="P29" s="57" t="s">
        <v>60</v>
      </c>
    </row>
    <row r="30" spans="1:16" ht="15">
      <c r="A30" s="213" t="s">
        <v>39</v>
      </c>
      <c r="B30" s="213">
        <v>1</v>
      </c>
      <c r="C30" s="76">
        <f t="shared" si="7"/>
        <v>472000</v>
      </c>
      <c r="D30" s="67">
        <f t="shared" si="0"/>
        <v>32439.862542955325</v>
      </c>
      <c r="E30" s="67">
        <f t="shared" si="1"/>
        <v>504439.8625429553</v>
      </c>
      <c r="F30" s="76"/>
      <c r="G30" s="171"/>
      <c r="H30" s="67">
        <f t="shared" si="2"/>
        <v>504439.8625429553</v>
      </c>
      <c r="I30" s="76"/>
      <c r="J30" s="76"/>
      <c r="K30" s="28">
        <f t="shared" si="3"/>
        <v>504439.8625429553</v>
      </c>
      <c r="L30" s="67">
        <v>460308.7606837607</v>
      </c>
      <c r="M30" s="127">
        <f t="shared" si="5"/>
        <v>0.09587282630389342</v>
      </c>
      <c r="N30" s="80">
        <f>+$N$8/16</f>
        <v>15763.745704467354</v>
      </c>
      <c r="O30" s="58">
        <f t="shared" si="4"/>
        <v>520203.6082474227</v>
      </c>
      <c r="P30" s="57" t="s">
        <v>60</v>
      </c>
    </row>
    <row r="31" spans="1:16" ht="15">
      <c r="A31" s="78" t="s">
        <v>72</v>
      </c>
      <c r="B31" s="78">
        <v>1.25</v>
      </c>
      <c r="C31" s="67">
        <f t="shared" si="7"/>
        <v>590000</v>
      </c>
      <c r="D31" s="67">
        <f t="shared" si="0"/>
        <v>40549.82817869416</v>
      </c>
      <c r="E31" s="67">
        <f t="shared" si="1"/>
        <v>630549.8281786941</v>
      </c>
      <c r="F31" s="67"/>
      <c r="G31" s="67"/>
      <c r="H31" s="67">
        <f t="shared" si="2"/>
        <v>630549.8281786941</v>
      </c>
      <c r="I31" s="67"/>
      <c r="J31" s="67"/>
      <c r="K31" s="28">
        <f t="shared" si="3"/>
        <v>630549.8281786941</v>
      </c>
      <c r="L31" s="67">
        <v>460308.7606837607</v>
      </c>
      <c r="M31" s="127">
        <f t="shared" si="5"/>
        <v>0.3698410328798667</v>
      </c>
      <c r="N31" s="80">
        <f>+$N$8/16</f>
        <v>15763.745704467354</v>
      </c>
      <c r="O31" s="58">
        <f t="shared" si="4"/>
        <v>646313.5738831615</v>
      </c>
      <c r="P31" s="57" t="s">
        <v>60</v>
      </c>
    </row>
    <row r="32" spans="1:16" ht="15">
      <c r="A32" s="78" t="s">
        <v>25</v>
      </c>
      <c r="B32" s="78">
        <v>1</v>
      </c>
      <c r="C32" s="67">
        <f t="shared" si="7"/>
        <v>472000</v>
      </c>
      <c r="D32" s="67">
        <f t="shared" si="0"/>
        <v>32439.862542955325</v>
      </c>
      <c r="E32" s="67">
        <f t="shared" si="1"/>
        <v>504439.8625429553</v>
      </c>
      <c r="F32" s="67"/>
      <c r="G32" s="67"/>
      <c r="H32" s="67">
        <f t="shared" si="2"/>
        <v>504439.8625429553</v>
      </c>
      <c r="I32" s="67"/>
      <c r="J32" s="67"/>
      <c r="K32" s="28">
        <f t="shared" si="3"/>
        <v>504439.8625429553</v>
      </c>
      <c r="L32" s="67">
        <v>460308.7606837607</v>
      </c>
      <c r="M32" s="127">
        <f t="shared" si="5"/>
        <v>0.09587282630389342</v>
      </c>
      <c r="N32" s="58"/>
      <c r="O32" s="58">
        <f t="shared" si="4"/>
        <v>504439.8625429553</v>
      </c>
      <c r="P32" s="57" t="s">
        <v>60</v>
      </c>
    </row>
    <row r="33" spans="1:16" ht="15">
      <c r="A33" s="78" t="s">
        <v>24</v>
      </c>
      <c r="B33" s="78">
        <v>2</v>
      </c>
      <c r="C33" s="67">
        <f t="shared" si="7"/>
        <v>944000</v>
      </c>
      <c r="D33" s="67">
        <f t="shared" si="0"/>
        <v>64879.72508591065</v>
      </c>
      <c r="E33" s="67">
        <f t="shared" si="1"/>
        <v>1008879.7250859106</v>
      </c>
      <c r="F33" s="67"/>
      <c r="G33" s="67"/>
      <c r="H33" s="67">
        <f t="shared" si="2"/>
        <v>1008879.7250859106</v>
      </c>
      <c r="I33" s="67"/>
      <c r="J33" s="67"/>
      <c r="K33" s="28">
        <f t="shared" si="3"/>
        <v>1008879.7250859106</v>
      </c>
      <c r="L33" s="67">
        <v>920617.5213675214</v>
      </c>
      <c r="M33" s="127">
        <f t="shared" si="5"/>
        <v>0.09587282630389342</v>
      </c>
      <c r="N33" s="58"/>
      <c r="O33" s="58">
        <f t="shared" si="4"/>
        <v>1008879.7250859106</v>
      </c>
      <c r="P33" s="57" t="s">
        <v>60</v>
      </c>
    </row>
    <row r="34" spans="1:16" ht="15">
      <c r="A34" s="78" t="s">
        <v>31</v>
      </c>
      <c r="B34" s="78">
        <v>1</v>
      </c>
      <c r="C34" s="67">
        <f t="shared" si="7"/>
        <v>472000</v>
      </c>
      <c r="D34" s="67">
        <f t="shared" si="0"/>
        <v>32439.862542955325</v>
      </c>
      <c r="E34" s="67">
        <f t="shared" si="1"/>
        <v>504439.8625429553</v>
      </c>
      <c r="F34" s="67"/>
      <c r="G34" s="67"/>
      <c r="H34" s="67">
        <f t="shared" si="2"/>
        <v>504439.8625429553</v>
      </c>
      <c r="I34" s="67"/>
      <c r="J34" s="67"/>
      <c r="K34" s="28">
        <f t="shared" si="3"/>
        <v>504439.8625429553</v>
      </c>
      <c r="L34" s="67">
        <v>460308.7606837607</v>
      </c>
      <c r="M34" s="127">
        <f t="shared" si="5"/>
        <v>0.09587282630389342</v>
      </c>
      <c r="N34" s="80"/>
      <c r="O34" s="58">
        <f t="shared" si="4"/>
        <v>504439.8625429553</v>
      </c>
      <c r="P34" s="57" t="s">
        <v>60</v>
      </c>
    </row>
    <row r="35" spans="1:16" ht="15">
      <c r="A35" s="78" t="s">
        <v>85</v>
      </c>
      <c r="B35" s="78">
        <v>1</v>
      </c>
      <c r="C35" s="67">
        <f t="shared" si="7"/>
        <v>472000</v>
      </c>
      <c r="D35" s="67">
        <f t="shared" si="0"/>
        <v>32439.862542955325</v>
      </c>
      <c r="E35" s="67">
        <f t="shared" si="1"/>
        <v>504439.8625429553</v>
      </c>
      <c r="F35" s="67">
        <v>35000</v>
      </c>
      <c r="G35" s="75" t="s">
        <v>37</v>
      </c>
      <c r="H35" s="67">
        <f t="shared" si="2"/>
        <v>469439.8625429553</v>
      </c>
      <c r="I35" s="67"/>
      <c r="J35" s="67"/>
      <c r="K35" s="28">
        <f t="shared" si="3"/>
        <v>469439.8625429553</v>
      </c>
      <c r="L35" s="67">
        <v>430308.7606837607</v>
      </c>
      <c r="M35" s="128">
        <f t="shared" si="5"/>
        <v>0.09093726513263478</v>
      </c>
      <c r="N35" s="80">
        <f>+$N$8/16</f>
        <v>15763.745704467354</v>
      </c>
      <c r="O35" s="58">
        <f t="shared" si="4"/>
        <v>485203.6082474227</v>
      </c>
      <c r="P35" s="57" t="s">
        <v>60</v>
      </c>
    </row>
    <row r="36" spans="1:16" ht="15">
      <c r="A36" s="78" t="s">
        <v>74</v>
      </c>
      <c r="B36" s="78">
        <v>1</v>
      </c>
      <c r="C36" s="67">
        <f t="shared" si="7"/>
        <v>472000</v>
      </c>
      <c r="D36" s="67">
        <f t="shared" si="0"/>
        <v>32439.862542955325</v>
      </c>
      <c r="E36" s="67">
        <f t="shared" si="1"/>
        <v>504439.8625429553</v>
      </c>
      <c r="F36" s="67"/>
      <c r="G36" s="67"/>
      <c r="H36" s="67">
        <f t="shared" si="2"/>
        <v>504439.8625429553</v>
      </c>
      <c r="I36" s="67"/>
      <c r="J36" s="67"/>
      <c r="K36" s="28">
        <f t="shared" si="3"/>
        <v>504439.8625429553</v>
      </c>
      <c r="L36" s="67">
        <v>460308.7606837607</v>
      </c>
      <c r="M36" s="127">
        <f t="shared" si="5"/>
        <v>0.09587282630389342</v>
      </c>
      <c r="N36" s="80"/>
      <c r="O36" s="58">
        <f t="shared" si="4"/>
        <v>504439.8625429553</v>
      </c>
      <c r="P36" s="57" t="s">
        <v>60</v>
      </c>
    </row>
    <row r="37" spans="1:16" ht="15">
      <c r="A37" s="78" t="s">
        <v>53</v>
      </c>
      <c r="B37" s="78">
        <v>0.5</v>
      </c>
      <c r="C37" s="67">
        <f t="shared" si="7"/>
        <v>236000</v>
      </c>
      <c r="D37" s="67">
        <f t="shared" si="0"/>
        <v>16219.931271477662</v>
      </c>
      <c r="E37" s="67">
        <f t="shared" si="1"/>
        <v>252219.93127147766</v>
      </c>
      <c r="F37" s="78"/>
      <c r="G37" s="67"/>
      <c r="H37" s="67">
        <f t="shared" si="2"/>
        <v>252219.93127147766</v>
      </c>
      <c r="I37" s="67"/>
      <c r="J37" s="67"/>
      <c r="K37" s="28">
        <f t="shared" si="3"/>
        <v>252219.93127147766</v>
      </c>
      <c r="L37" s="67">
        <v>230154.38034188034</v>
      </c>
      <c r="M37" s="127">
        <f t="shared" si="5"/>
        <v>0.09587282630389342</v>
      </c>
      <c r="N37" s="80">
        <f>+$N$8/16</f>
        <v>15763.745704467354</v>
      </c>
      <c r="O37" s="58">
        <f t="shared" si="4"/>
        <v>267983.676975945</v>
      </c>
      <c r="P37" s="57" t="s">
        <v>60</v>
      </c>
    </row>
    <row r="38" spans="1:16" ht="15">
      <c r="A38" s="78" t="s">
        <v>29</v>
      </c>
      <c r="B38" s="78">
        <v>1</v>
      </c>
      <c r="C38" s="67">
        <f t="shared" si="7"/>
        <v>472000</v>
      </c>
      <c r="D38" s="67">
        <f t="shared" si="0"/>
        <v>32439.862542955325</v>
      </c>
      <c r="E38" s="67">
        <f t="shared" si="1"/>
        <v>504439.8625429553</v>
      </c>
      <c r="F38" s="67"/>
      <c r="G38" s="67"/>
      <c r="H38" s="67">
        <f t="shared" si="2"/>
        <v>504439.8625429553</v>
      </c>
      <c r="I38" s="67"/>
      <c r="J38" s="28"/>
      <c r="K38" s="28">
        <f t="shared" si="3"/>
        <v>504439.8625429553</v>
      </c>
      <c r="L38" s="67">
        <v>460308.7606837607</v>
      </c>
      <c r="M38" s="127">
        <f t="shared" si="5"/>
        <v>0.09587282630389342</v>
      </c>
      <c r="N38" s="80">
        <f>+$N$8/16</f>
        <v>15763.745704467354</v>
      </c>
      <c r="O38" s="58">
        <f t="shared" si="4"/>
        <v>520203.6082474227</v>
      </c>
      <c r="P38" s="57" t="s">
        <v>60</v>
      </c>
    </row>
    <row r="39" spans="1:16" ht="15">
      <c r="A39" s="78" t="s">
        <v>40</v>
      </c>
      <c r="B39" s="78">
        <v>0.75</v>
      </c>
      <c r="C39" s="67">
        <f t="shared" si="7"/>
        <v>354000</v>
      </c>
      <c r="D39" s="67">
        <f t="shared" si="0"/>
        <v>24329.896907216495</v>
      </c>
      <c r="E39" s="67">
        <f t="shared" si="1"/>
        <v>378329.8969072165</v>
      </c>
      <c r="F39" s="67"/>
      <c r="G39" s="75"/>
      <c r="H39" s="67">
        <f t="shared" si="2"/>
        <v>378329.8969072165</v>
      </c>
      <c r="I39" s="67"/>
      <c r="J39" s="28"/>
      <c r="K39" s="28">
        <f t="shared" si="3"/>
        <v>378329.8969072165</v>
      </c>
      <c r="L39" s="67">
        <v>345231.5705128205</v>
      </c>
      <c r="M39" s="127">
        <f t="shared" si="5"/>
        <v>0.09587282630389356</v>
      </c>
      <c r="N39" s="80">
        <f>+$N$8/16</f>
        <v>15763.745704467354</v>
      </c>
      <c r="O39" s="58">
        <f t="shared" si="4"/>
        <v>394093.64261168387</v>
      </c>
      <c r="P39" s="57" t="s">
        <v>60</v>
      </c>
    </row>
    <row r="40" spans="1:16" ht="15">
      <c r="A40" s="78" t="s">
        <v>33</v>
      </c>
      <c r="B40" s="78">
        <v>1</v>
      </c>
      <c r="C40" s="67">
        <f t="shared" si="7"/>
        <v>472000</v>
      </c>
      <c r="D40" s="67">
        <f t="shared" si="0"/>
        <v>32439.862542955325</v>
      </c>
      <c r="E40" s="67">
        <f t="shared" si="1"/>
        <v>504439.8625429553</v>
      </c>
      <c r="F40" s="67"/>
      <c r="G40" s="67"/>
      <c r="H40" s="67">
        <f t="shared" si="2"/>
        <v>504439.8625429553</v>
      </c>
      <c r="I40" s="67"/>
      <c r="J40" s="28"/>
      <c r="K40" s="28">
        <f t="shared" si="3"/>
        <v>504439.8625429553</v>
      </c>
      <c r="L40" s="67">
        <v>460308.7606837607</v>
      </c>
      <c r="M40" s="127">
        <f t="shared" si="5"/>
        <v>0.09587282630389342</v>
      </c>
      <c r="N40" s="80"/>
      <c r="O40" s="58">
        <f t="shared" si="4"/>
        <v>504439.8625429553</v>
      </c>
      <c r="P40" s="57" t="s">
        <v>60</v>
      </c>
    </row>
    <row r="41" spans="1:16" ht="15">
      <c r="A41" s="78" t="s">
        <v>77</v>
      </c>
      <c r="B41" s="78">
        <v>0.25</v>
      </c>
      <c r="C41" s="67">
        <f t="shared" si="7"/>
        <v>118000</v>
      </c>
      <c r="D41" s="67">
        <f t="shared" si="0"/>
        <v>8109.965635738831</v>
      </c>
      <c r="E41" s="67">
        <f t="shared" si="1"/>
        <v>126109.96563573883</v>
      </c>
      <c r="F41" s="67"/>
      <c r="G41" s="67"/>
      <c r="H41" s="67">
        <f t="shared" si="2"/>
        <v>126109.96563573883</v>
      </c>
      <c r="I41" s="67"/>
      <c r="J41" s="28"/>
      <c r="K41" s="67">
        <f t="shared" si="3"/>
        <v>126109.96563573883</v>
      </c>
      <c r="L41" s="67">
        <v>115077.19017094017</v>
      </c>
      <c r="M41" s="127">
        <f t="shared" si="5"/>
        <v>0.09587282630389342</v>
      </c>
      <c r="N41" s="80"/>
      <c r="O41" s="80"/>
      <c r="P41" s="57" t="s">
        <v>60</v>
      </c>
    </row>
    <row r="42" spans="1:16" ht="15.75" thickBot="1">
      <c r="A42" s="78"/>
      <c r="B42" s="177"/>
      <c r="C42" s="86"/>
      <c r="D42" s="86"/>
      <c r="E42" s="86"/>
      <c r="F42" s="214"/>
      <c r="G42" s="214"/>
      <c r="H42" s="214"/>
      <c r="I42" s="214"/>
      <c r="J42" s="88"/>
      <c r="K42" s="119"/>
      <c r="L42" s="220"/>
      <c r="M42" s="125"/>
      <c r="N42" s="105"/>
      <c r="O42" s="89"/>
      <c r="P42" s="90"/>
    </row>
    <row r="43" spans="1:16" ht="15.75" thickBot="1">
      <c r="A43" s="78"/>
      <c r="B43" s="215">
        <f>SUM(B10:B42)</f>
        <v>29.1</v>
      </c>
      <c r="C43" s="216">
        <f>SUM(C10:C42)</f>
        <v>13688000</v>
      </c>
      <c r="D43" s="216">
        <f>SUM(D10:D42)</f>
        <v>944000</v>
      </c>
      <c r="E43" s="141">
        <f>SUM(E10:E42)</f>
        <v>14632000</v>
      </c>
      <c r="F43" s="93">
        <f>SUM(F10:F42)</f>
        <v>322219.93127147766</v>
      </c>
      <c r="G43" s="181" t="s">
        <v>45</v>
      </c>
      <c r="H43" s="138">
        <f>SUM(H10:H42)</f>
        <v>14309780.068728521</v>
      </c>
      <c r="I43" s="183">
        <f>SUM(I10:I42)</f>
        <v>856401.7869415808</v>
      </c>
      <c r="J43" s="29">
        <f>SUM(J10:J42)</f>
        <v>0</v>
      </c>
      <c r="K43" s="93">
        <f>SUM(K10:K42)</f>
        <v>13453378.281786941</v>
      </c>
      <c r="L43" s="221">
        <f>SUM(L10:L42)</f>
        <v>12293052.905982904</v>
      </c>
      <c r="M43" s="113">
        <f>+(K43-L43)/L43</f>
        <v>0.0943887075633847</v>
      </c>
      <c r="N43" s="108">
        <f>SUM(N10:N42)</f>
        <v>252219.93127147763</v>
      </c>
      <c r="O43" s="56">
        <f>SUM(O10:O42)</f>
        <v>13579488.247422682</v>
      </c>
      <c r="P43" s="50">
        <f>+F43+E44</f>
        <v>1200000</v>
      </c>
    </row>
    <row r="44" spans="1:16" ht="16.5" thickBot="1" thickTop="1">
      <c r="A44" s="184"/>
      <c r="B44" s="189" t="s">
        <v>61</v>
      </c>
      <c r="C44" s="185"/>
      <c r="D44" s="213"/>
      <c r="E44" s="186">
        <f>1200000-F43</f>
        <v>877780.0687285224</v>
      </c>
      <c r="F44" s="187" t="s">
        <v>42</v>
      </c>
      <c r="G44" s="217"/>
      <c r="H44" s="51">
        <f>+E44+F43</f>
        <v>1200000</v>
      </c>
      <c r="I44" s="189" t="s">
        <v>62</v>
      </c>
      <c r="J44" s="68"/>
      <c r="K44" s="83">
        <f>+H44</f>
        <v>1200000</v>
      </c>
      <c r="L44" s="123">
        <v>1600000</v>
      </c>
      <c r="M44" s="115">
        <f>+(K44-L44)/L44</f>
        <v>-0.25</v>
      </c>
      <c r="N44" s="121">
        <f>+K41-N43</f>
        <v>-126109.9656357388</v>
      </c>
      <c r="O44" s="91">
        <f>+N44</f>
        <v>-126109.9656357388</v>
      </c>
      <c r="P44" s="59" t="s">
        <v>62</v>
      </c>
    </row>
    <row r="45" spans="1:16" ht="15.75" thickBot="1">
      <c r="A45" s="184"/>
      <c r="B45" s="218"/>
      <c r="C45" s="191"/>
      <c r="D45" s="192"/>
      <c r="E45" s="193">
        <f>SUM(E43:E44)</f>
        <v>15509780.068728521</v>
      </c>
      <c r="F45" s="49"/>
      <c r="G45" s="219"/>
      <c r="H45" s="216">
        <f>SUM(H43:H44)</f>
        <v>15509780.068728521</v>
      </c>
      <c r="I45" s="196"/>
      <c r="J45" s="21"/>
      <c r="K45" s="120">
        <f>SUM(K43:K44)</f>
        <v>14653378.281786941</v>
      </c>
      <c r="L45" s="124">
        <f>SUM(L43:L44)</f>
        <v>13893052.905982904</v>
      </c>
      <c r="M45" s="117">
        <f>+(K45-L45)/L45</f>
        <v>0.054727019392304364</v>
      </c>
      <c r="N45" s="122">
        <f>+N44+N43</f>
        <v>126109.96563573883</v>
      </c>
      <c r="O45" s="94">
        <f>+O43+O44</f>
        <v>13453378.281786943</v>
      </c>
      <c r="P45" s="24"/>
    </row>
    <row r="46" spans="1:15" ht="15" thickTop="1">
      <c r="A46" s="197"/>
      <c r="B46" s="198"/>
      <c r="C46" s="137"/>
      <c r="D46" s="137"/>
      <c r="E46" s="199"/>
      <c r="F46" s="199"/>
      <c r="G46" s="199"/>
      <c r="H46" s="199"/>
      <c r="I46" s="74"/>
      <c r="J46" s="8"/>
      <c r="K46" s="33"/>
      <c r="L46" s="199"/>
      <c r="M46" s="33"/>
      <c r="N46" s="33">
        <f>+N44</f>
        <v>-126109.9656357388</v>
      </c>
      <c r="O46" s="23" t="s">
        <v>112</v>
      </c>
    </row>
    <row r="47" spans="1:15" ht="15">
      <c r="A47" s="200"/>
      <c r="B47" s="201" t="s">
        <v>49</v>
      </c>
      <c r="C47" s="202" t="s">
        <v>45</v>
      </c>
      <c r="D47" s="137" t="s">
        <v>65</v>
      </c>
      <c r="E47" s="203"/>
      <c r="F47" s="137"/>
      <c r="G47" s="204"/>
      <c r="H47" s="137"/>
      <c r="I47" s="202" t="s">
        <v>67</v>
      </c>
      <c r="J47" s="1" t="s">
        <v>84</v>
      </c>
      <c r="K47"/>
      <c r="L47"/>
      <c r="M47"/>
      <c r="O47" s="23"/>
    </row>
    <row r="48" spans="1:14" ht="15">
      <c r="A48" s="200"/>
      <c r="B48" s="137"/>
      <c r="C48" s="202" t="s">
        <v>42</v>
      </c>
      <c r="D48" s="137" t="s">
        <v>68</v>
      </c>
      <c r="E48" s="137"/>
      <c r="F48" s="137"/>
      <c r="G48" s="137"/>
      <c r="H48" s="137"/>
      <c r="I48" s="202" t="s">
        <v>37</v>
      </c>
      <c r="J48" s="1" t="s">
        <v>79</v>
      </c>
      <c r="L48"/>
      <c r="M48"/>
      <c r="N48"/>
    </row>
    <row r="49" spans="1:10" ht="15">
      <c r="A49" s="205"/>
      <c r="B49" s="137"/>
      <c r="C49" s="202" t="s">
        <v>62</v>
      </c>
      <c r="D49" s="206" t="s">
        <v>80</v>
      </c>
      <c r="E49" s="137"/>
      <c r="F49" s="137"/>
      <c r="G49" s="137"/>
      <c r="H49" s="137"/>
      <c r="I49" s="202" t="s">
        <v>14</v>
      </c>
      <c r="J49" s="1" t="s">
        <v>46</v>
      </c>
    </row>
    <row r="50" spans="1:14" ht="15">
      <c r="A50" s="205"/>
      <c r="B50" s="137"/>
      <c r="C50" s="137"/>
      <c r="D50" s="137"/>
      <c r="E50" s="137"/>
      <c r="F50" s="137"/>
      <c r="G50" s="137"/>
      <c r="H50" s="202"/>
      <c r="I50" s="137"/>
      <c r="J50"/>
      <c r="K50"/>
      <c r="L50"/>
      <c r="N50"/>
    </row>
    <row r="51" spans="1:14" ht="15">
      <c r="A51" s="30"/>
      <c r="B51" s="203"/>
      <c r="C51" s="137"/>
      <c r="D51" s="137"/>
      <c r="E51" s="203"/>
      <c r="F51" s="203"/>
      <c r="G51" s="203"/>
      <c r="H51" s="202"/>
      <c r="I51" s="137"/>
      <c r="K51"/>
      <c r="L51"/>
      <c r="M51"/>
      <c r="N51"/>
    </row>
    <row r="52" spans="5:8" ht="15">
      <c r="E52" s="23"/>
      <c r="H52" s="32"/>
    </row>
    <row r="54" spans="5:8" ht="15">
      <c r="E54" s="23"/>
      <c r="F54" s="23"/>
      <c r="G54" s="23"/>
      <c r="H54" s="23"/>
    </row>
    <row r="56" spans="5:8" ht="15">
      <c r="E56" s="31"/>
      <c r="F56" s="31"/>
      <c r="G56" s="31"/>
      <c r="H56" s="31"/>
    </row>
    <row r="58" spans="5:8" ht="15">
      <c r="E58" s="44"/>
      <c r="F58" s="44"/>
      <c r="G58" s="44"/>
      <c r="H58" s="44"/>
    </row>
    <row r="60" spans="5:8" ht="15">
      <c r="E60" s="23"/>
      <c r="F60" s="23"/>
      <c r="G60" s="23"/>
      <c r="H60" s="23"/>
    </row>
    <row r="61" spans="4:9" ht="15">
      <c r="D61" s="42"/>
      <c r="E61" s="23"/>
      <c r="F61" s="23"/>
      <c r="G61" s="23"/>
      <c r="H61" s="23"/>
      <c r="I61" s="44"/>
    </row>
    <row r="62" spans="2:13" ht="15">
      <c r="B62"/>
      <c r="C62"/>
      <c r="D62" s="69"/>
      <c r="E62" s="23"/>
      <c r="F62" s="23"/>
      <c r="G62" s="23"/>
      <c r="H62" s="23"/>
      <c r="L62"/>
      <c r="M62"/>
    </row>
    <row r="63" spans="5:8" ht="15">
      <c r="E63" s="23"/>
      <c r="F63" s="23"/>
      <c r="G63" s="23"/>
      <c r="H63" s="23"/>
    </row>
    <row r="64" spans="5:8" ht="15">
      <c r="E64" s="23"/>
      <c r="F64" s="23"/>
      <c r="G64" s="23"/>
      <c r="H64" s="23"/>
    </row>
    <row r="65" spans="5:8" ht="15">
      <c r="E65" s="23"/>
      <c r="F65" s="23"/>
      <c r="G65" s="23"/>
      <c r="H65" s="23"/>
    </row>
    <row r="66" spans="5:8" ht="15">
      <c r="E66" s="23"/>
      <c r="F66" s="23"/>
      <c r="G66" s="23"/>
      <c r="H66" s="23"/>
    </row>
    <row r="67" spans="5:8" ht="15">
      <c r="E67" s="23"/>
      <c r="F67" s="23"/>
      <c r="G67" s="23"/>
      <c r="H67" s="23"/>
    </row>
    <row r="68" spans="5:8" ht="15">
      <c r="E68" s="23"/>
      <c r="F68" s="23"/>
      <c r="G68" s="23"/>
      <c r="H68" s="23"/>
    </row>
    <row r="69" spans="5:8" ht="15">
      <c r="E69" s="23"/>
      <c r="F69" s="23"/>
      <c r="G69" s="23"/>
      <c r="H69" s="23"/>
    </row>
  </sheetData>
  <sheetProtection/>
  <printOptions horizontalCentered="1" verticalCentered="1"/>
  <pageMargins left="0" right="0" top="0.15748031496062992" bottom="0" header="0.15748031496062992" footer="0.1968503937007874"/>
  <pageSetup fitToHeight="1" fitToWidth="1" horizontalDpi="300" verticalDpi="3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="65" zoomScaleNormal="65" zoomScaleSheetLayoutView="65" zoomScalePageLayoutView="0" workbookViewId="0" topLeftCell="A1">
      <selection activeCell="A1" sqref="A1"/>
    </sheetView>
  </sheetViews>
  <sheetFormatPr defaultColWidth="8.88671875" defaultRowHeight="15"/>
  <cols>
    <col min="1" max="1" width="30.99609375" style="1" customWidth="1"/>
    <col min="2" max="2" width="5.77734375" style="1" customWidth="1"/>
    <col min="3" max="3" width="10.5546875" style="1" customWidth="1"/>
    <col min="4" max="4" width="9.3359375" style="1" customWidth="1"/>
    <col min="5" max="5" width="11.3359375" style="1" customWidth="1"/>
    <col min="6" max="6" width="11.21484375" style="1" customWidth="1"/>
    <col min="7" max="7" width="3.21484375" style="1" customWidth="1"/>
    <col min="8" max="8" width="10.6640625" style="1" customWidth="1"/>
    <col min="9" max="9" width="8.21484375" style="1" customWidth="1"/>
    <col min="10" max="10" width="3.88671875" style="1" customWidth="1"/>
    <col min="11" max="11" width="11.5546875" style="1" customWidth="1"/>
    <col min="12" max="12" width="9.99609375" style="1" customWidth="1"/>
    <col min="13" max="13" width="10.4453125" style="1" customWidth="1"/>
    <col min="14" max="14" width="9.4453125" style="1" customWidth="1"/>
    <col min="15" max="15" width="11.6640625" style="1" customWidth="1"/>
    <col min="16" max="16" width="12.6640625" style="1" customWidth="1"/>
    <col min="17" max="16384" width="8.88671875" style="1" customWidth="1"/>
  </cols>
  <sheetData>
    <row r="1" spans="1:16" ht="20.25">
      <c r="A1" s="46" t="s">
        <v>0</v>
      </c>
      <c r="B1"/>
      <c r="C1"/>
      <c r="D1"/>
      <c r="E1"/>
      <c r="F1"/>
      <c r="G1"/>
      <c r="H1"/>
      <c r="I1" t="s">
        <v>86</v>
      </c>
      <c r="K1"/>
      <c r="M1" s="7" t="s">
        <v>82</v>
      </c>
      <c r="N1" s="41"/>
      <c r="O1" s="168" t="str">
        <f>+'2016 Contrib Key'!O1</f>
        <v>29.09.15</v>
      </c>
      <c r="P1" s="137"/>
    </row>
    <row r="2" spans="1:15" ht="15">
      <c r="A2"/>
      <c r="E2" s="2"/>
      <c r="F2" s="2"/>
      <c r="G2" s="2"/>
      <c r="H2" s="2"/>
      <c r="O2" s="1" t="str">
        <f>+'2016 Contrib Key'!O2</f>
        <v>Average</v>
      </c>
    </row>
    <row r="3" spans="1:13" ht="18">
      <c r="A3" s="47" t="s">
        <v>90</v>
      </c>
      <c r="C3" s="137"/>
      <c r="E3" s="169" t="str">
        <f>+O1</f>
        <v>29.09.15</v>
      </c>
      <c r="F3" s="137"/>
      <c r="K3" s="3"/>
      <c r="L3" s="6"/>
      <c r="M3" s="6"/>
    </row>
    <row r="4" spans="1:16" ht="15.75" thickBo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118" t="s">
        <v>12</v>
      </c>
      <c r="M4" s="20" t="s">
        <v>13</v>
      </c>
      <c r="N4" s="4" t="s">
        <v>14</v>
      </c>
      <c r="O4" s="6" t="s">
        <v>50</v>
      </c>
      <c r="P4" s="6" t="s">
        <v>78</v>
      </c>
    </row>
    <row r="5" spans="1:16" ht="16.5" thickTop="1">
      <c r="A5" s="9"/>
      <c r="B5" s="12"/>
      <c r="C5" s="12" t="s">
        <v>55</v>
      </c>
      <c r="D5" s="15" t="s">
        <v>16</v>
      </c>
      <c r="E5" s="12" t="s">
        <v>18</v>
      </c>
      <c r="F5" s="15" t="s">
        <v>63</v>
      </c>
      <c r="G5" s="15"/>
      <c r="H5" s="15" t="s">
        <v>70</v>
      </c>
      <c r="I5" s="12" t="s">
        <v>19</v>
      </c>
      <c r="J5" s="53"/>
      <c r="K5" s="12" t="s">
        <v>71</v>
      </c>
      <c r="L5" s="15" t="s">
        <v>20</v>
      </c>
      <c r="M5" s="16">
        <f>+K8</f>
        <v>2017</v>
      </c>
      <c r="N5" s="70">
        <v>0.5</v>
      </c>
      <c r="O5" s="12" t="s">
        <v>18</v>
      </c>
      <c r="P5" s="36" t="s">
        <v>18</v>
      </c>
    </row>
    <row r="6" spans="1:16" ht="15.75">
      <c r="A6" s="10" t="s">
        <v>23</v>
      </c>
      <c r="B6" s="13" t="s">
        <v>15</v>
      </c>
      <c r="C6" s="13" t="s">
        <v>56</v>
      </c>
      <c r="D6" s="25" t="s">
        <v>88</v>
      </c>
      <c r="E6" s="13" t="s">
        <v>17</v>
      </c>
      <c r="F6" s="17" t="s">
        <v>60</v>
      </c>
      <c r="G6" s="25"/>
      <c r="H6" s="17" t="s">
        <v>21</v>
      </c>
      <c r="I6" s="13" t="s">
        <v>58</v>
      </c>
      <c r="J6" s="52"/>
      <c r="K6" s="13" t="s">
        <v>22</v>
      </c>
      <c r="L6" s="17" t="s">
        <v>21</v>
      </c>
      <c r="M6" s="18" t="s">
        <v>47</v>
      </c>
      <c r="N6" s="71" t="s">
        <v>51</v>
      </c>
      <c r="O6" s="13" t="s">
        <v>21</v>
      </c>
      <c r="P6" s="37" t="s">
        <v>60</v>
      </c>
    </row>
    <row r="7" spans="1:16" ht="15.75">
      <c r="A7" s="10"/>
      <c r="B7" s="10"/>
      <c r="C7" s="13" t="s">
        <v>52</v>
      </c>
      <c r="D7" s="63" t="s">
        <v>87</v>
      </c>
      <c r="E7" s="13"/>
      <c r="F7" s="17" t="s">
        <v>64</v>
      </c>
      <c r="G7" s="17"/>
      <c r="H7" s="17" t="s">
        <v>22</v>
      </c>
      <c r="I7" s="13" t="s">
        <v>59</v>
      </c>
      <c r="J7" s="13"/>
      <c r="K7" s="95"/>
      <c r="L7" s="17" t="s">
        <v>22</v>
      </c>
      <c r="M7" s="18" t="s">
        <v>48</v>
      </c>
      <c r="N7" s="72" t="s">
        <v>66</v>
      </c>
      <c r="O7" s="13" t="s">
        <v>22</v>
      </c>
      <c r="P7" s="37" t="s">
        <v>62</v>
      </c>
    </row>
    <row r="8" spans="1:16" ht="16.5" thickBot="1">
      <c r="A8" s="11"/>
      <c r="B8" s="11"/>
      <c r="C8" s="143">
        <v>517659</v>
      </c>
      <c r="D8" s="139">
        <f>+C8*2</f>
        <v>1035318</v>
      </c>
      <c r="E8" s="98">
        <v>2017</v>
      </c>
      <c r="F8" s="97">
        <f>+E8</f>
        <v>2017</v>
      </c>
      <c r="G8" s="97"/>
      <c r="H8" s="97">
        <f>+E8</f>
        <v>2017</v>
      </c>
      <c r="I8" s="14" t="s">
        <v>44</v>
      </c>
      <c r="J8" s="14"/>
      <c r="K8" s="14">
        <f>+E8</f>
        <v>2017</v>
      </c>
      <c r="L8" s="19">
        <f>+E8-1</f>
        <v>2016</v>
      </c>
      <c r="M8" s="20" t="s">
        <v>91</v>
      </c>
      <c r="N8" s="73">
        <f>+E41*2</f>
        <v>276618.46907216497</v>
      </c>
      <c r="O8" s="14">
        <f>+E8</f>
        <v>2017</v>
      </c>
      <c r="P8" s="38"/>
    </row>
    <row r="9" spans="1:16" ht="17.25" thickBot="1" thickTop="1">
      <c r="A9" s="8"/>
      <c r="B9" s="8"/>
      <c r="C9" s="136">
        <f>+M10</f>
        <v>0.09673516949152551</v>
      </c>
      <c r="D9" s="74"/>
      <c r="E9" s="74"/>
      <c r="F9" s="74"/>
      <c r="G9" s="74"/>
      <c r="H9" s="74"/>
      <c r="I9" s="8"/>
      <c r="J9" s="8"/>
      <c r="K9" s="8"/>
      <c r="N9" s="74"/>
      <c r="O9" s="42"/>
      <c r="P9" s="39"/>
    </row>
    <row r="10" spans="1:16" ht="16.5" thickBot="1">
      <c r="A10" s="5" t="s">
        <v>30</v>
      </c>
      <c r="B10" s="5">
        <v>1</v>
      </c>
      <c r="C10" s="45">
        <f>+$C$8*B10</f>
        <v>517659</v>
      </c>
      <c r="D10" s="45">
        <f aca="true" t="shared" si="0" ref="D10:D41">+$D$8/$B$43*B10</f>
        <v>35577.93814432989</v>
      </c>
      <c r="E10" s="45">
        <f aca="true" t="shared" si="1" ref="E10:E41">SUM(C10:D10)</f>
        <v>553236.9381443299</v>
      </c>
      <c r="F10" s="45"/>
      <c r="G10" s="45"/>
      <c r="H10" s="67">
        <f aca="true" t="shared" si="2" ref="H10:H41">+E10-F10</f>
        <v>553236.9381443299</v>
      </c>
      <c r="I10" s="22"/>
      <c r="J10" s="22"/>
      <c r="K10" s="22">
        <f aca="true" t="shared" si="3" ref="K10:K41">+H10-I10-J10</f>
        <v>553236.9381443299</v>
      </c>
      <c r="L10" s="109">
        <f>+'2016 Contrib Key'!K10</f>
        <v>504439.8625429553</v>
      </c>
      <c r="M10" s="129">
        <f>+(K10-L10)/L10</f>
        <v>0.09673516949152551</v>
      </c>
      <c r="N10" s="80">
        <f>+$N$8/16</f>
        <v>17288.65431701031</v>
      </c>
      <c r="O10" s="58">
        <f aca="true" t="shared" si="4" ref="O10:O40">+N10+K10</f>
        <v>570525.5924613402</v>
      </c>
      <c r="P10" s="57" t="s">
        <v>60</v>
      </c>
    </row>
    <row r="11" spans="1:16" ht="15.75">
      <c r="A11" s="84" t="s">
        <v>35</v>
      </c>
      <c r="B11" s="84">
        <v>1</v>
      </c>
      <c r="C11" s="45">
        <f>+$C$8*B11</f>
        <v>517659</v>
      </c>
      <c r="D11" s="45">
        <f t="shared" si="0"/>
        <v>35577.93814432989</v>
      </c>
      <c r="E11" s="45">
        <f t="shared" si="1"/>
        <v>553236.9381443299</v>
      </c>
      <c r="F11" s="45"/>
      <c r="G11" s="45"/>
      <c r="H11" s="67">
        <f t="shared" si="2"/>
        <v>553236.9381443299</v>
      </c>
      <c r="I11" s="45"/>
      <c r="J11" s="22"/>
      <c r="K11" s="22">
        <f t="shared" si="3"/>
        <v>553236.9381443299</v>
      </c>
      <c r="L11" s="110">
        <f>+'2016 Contrib Key'!K11</f>
        <v>504439.8625429553</v>
      </c>
      <c r="M11" s="129">
        <f>+(K11-L11)/L11</f>
        <v>0.09673516949152551</v>
      </c>
      <c r="N11" s="80">
        <f>+$N$8/16</f>
        <v>17288.65431701031</v>
      </c>
      <c r="O11" s="58">
        <f t="shared" si="4"/>
        <v>570525.5924613402</v>
      </c>
      <c r="P11" s="57" t="s">
        <v>60</v>
      </c>
    </row>
    <row r="12" spans="1:16" ht="15.75">
      <c r="A12" s="84" t="s">
        <v>41</v>
      </c>
      <c r="B12" s="84">
        <v>1</v>
      </c>
      <c r="C12" s="45">
        <f>+$C$8*B12</f>
        <v>517659</v>
      </c>
      <c r="D12" s="45">
        <f t="shared" si="0"/>
        <v>35577.93814432989</v>
      </c>
      <c r="E12" s="45">
        <f t="shared" si="1"/>
        <v>553236.9381443299</v>
      </c>
      <c r="F12" s="45"/>
      <c r="G12" s="99"/>
      <c r="H12" s="67">
        <f t="shared" si="2"/>
        <v>553236.9381443299</v>
      </c>
      <c r="I12" s="45"/>
      <c r="J12" s="22"/>
      <c r="K12" s="22">
        <f t="shared" si="3"/>
        <v>553236.9381443299</v>
      </c>
      <c r="L12" s="110">
        <f>+'2016 Contrib Key'!K12</f>
        <v>504439.8625429553</v>
      </c>
      <c r="M12" s="130">
        <f>+(K12-L12)/L12</f>
        <v>0.09673516949152551</v>
      </c>
      <c r="N12" s="80">
        <f>+$N$8/16</f>
        <v>17288.65431701031</v>
      </c>
      <c r="O12" s="58">
        <f t="shared" si="4"/>
        <v>570525.5924613402</v>
      </c>
      <c r="P12" s="57" t="s">
        <v>60</v>
      </c>
    </row>
    <row r="13" spans="1:16" ht="15.75">
      <c r="A13" s="78" t="s">
        <v>115</v>
      </c>
      <c r="B13" s="84">
        <v>1</v>
      </c>
      <c r="C13" s="45">
        <f>+$C$8*B13</f>
        <v>517659</v>
      </c>
      <c r="D13" s="45">
        <f t="shared" si="0"/>
        <v>35577.93814432989</v>
      </c>
      <c r="E13" s="45">
        <f t="shared" si="1"/>
        <v>553236.9381443299</v>
      </c>
      <c r="F13" s="170"/>
      <c r="G13" s="77" t="s">
        <v>37</v>
      </c>
      <c r="H13" s="79">
        <f t="shared" si="2"/>
        <v>553236.9381443299</v>
      </c>
      <c r="I13" s="45">
        <f>+H13*0.6</f>
        <v>331942.162886598</v>
      </c>
      <c r="J13" s="22"/>
      <c r="K13" s="22">
        <f t="shared" si="3"/>
        <v>221294.77525773196</v>
      </c>
      <c r="L13" s="110">
        <f>+'2016 Contrib Key'!K13</f>
        <v>176553.95189003437</v>
      </c>
      <c r="M13" s="130">
        <f>+(K13-L13)/L13</f>
        <v>0.25341162227602904</v>
      </c>
      <c r="N13" s="80">
        <f>+$N$8/16</f>
        <v>17288.65431701031</v>
      </c>
      <c r="O13" s="58">
        <f t="shared" si="4"/>
        <v>238583.42957474227</v>
      </c>
      <c r="P13" s="57" t="s">
        <v>60</v>
      </c>
    </row>
    <row r="14" spans="1:16" ht="15.75">
      <c r="A14" s="78" t="s">
        <v>83</v>
      </c>
      <c r="B14" s="84">
        <v>0.5</v>
      </c>
      <c r="C14" s="45">
        <f>+$C$8*B14</f>
        <v>258829.5</v>
      </c>
      <c r="D14" s="45">
        <f t="shared" si="0"/>
        <v>17788.969072164946</v>
      </c>
      <c r="E14" s="45">
        <f t="shared" si="1"/>
        <v>276618.46907216497</v>
      </c>
      <c r="F14" s="48">
        <f>E14</f>
        <v>276618.46907216497</v>
      </c>
      <c r="G14" s="77" t="s">
        <v>67</v>
      </c>
      <c r="H14" s="67">
        <f t="shared" si="2"/>
        <v>0</v>
      </c>
      <c r="I14" s="45"/>
      <c r="J14" s="45"/>
      <c r="K14" s="45">
        <f t="shared" si="3"/>
        <v>0</v>
      </c>
      <c r="L14" s="110">
        <v>0</v>
      </c>
      <c r="M14" s="131">
        <v>0</v>
      </c>
      <c r="N14" s="80"/>
      <c r="O14" s="80">
        <f t="shared" si="4"/>
        <v>0</v>
      </c>
      <c r="P14" s="57"/>
    </row>
    <row r="15" spans="1:16" ht="15.75">
      <c r="A15" s="78" t="s">
        <v>113</v>
      </c>
      <c r="B15" s="84">
        <v>0.1</v>
      </c>
      <c r="C15" s="45"/>
      <c r="D15" s="45">
        <f t="shared" si="0"/>
        <v>3557.793814432989</v>
      </c>
      <c r="E15" s="45">
        <f t="shared" si="1"/>
        <v>3557.793814432989</v>
      </c>
      <c r="F15" s="67"/>
      <c r="G15" s="99"/>
      <c r="H15" s="67">
        <f t="shared" si="2"/>
        <v>3557.793814432989</v>
      </c>
      <c r="I15" s="45"/>
      <c r="J15" s="22"/>
      <c r="K15" s="22">
        <f t="shared" si="3"/>
        <v>3557.793814432989</v>
      </c>
      <c r="L15" s="110">
        <f>+'2016 Contrib Key'!K15</f>
        <v>3243.9862542955325</v>
      </c>
      <c r="M15" s="130">
        <f aca="true" t="shared" si="5" ref="M15:M41">+(K15-L15)/L15</f>
        <v>0.09673516949152532</v>
      </c>
      <c r="N15" s="80"/>
      <c r="O15" s="58">
        <f t="shared" si="4"/>
        <v>3557.793814432989</v>
      </c>
      <c r="P15" s="57" t="s">
        <v>60</v>
      </c>
    </row>
    <row r="16" spans="1:16" ht="15.75">
      <c r="A16" s="78" t="s">
        <v>114</v>
      </c>
      <c r="B16" s="84">
        <v>1</v>
      </c>
      <c r="C16" s="45">
        <f aca="true" t="shared" si="6" ref="C16:C41">+$C$8*B16</f>
        <v>517659</v>
      </c>
      <c r="D16" s="45">
        <f t="shared" si="0"/>
        <v>35577.93814432989</v>
      </c>
      <c r="E16" s="45">
        <f t="shared" si="1"/>
        <v>553236.9381443299</v>
      </c>
      <c r="F16" s="67"/>
      <c r="G16" s="45"/>
      <c r="H16" s="67">
        <f t="shared" si="2"/>
        <v>553236.9381443299</v>
      </c>
      <c r="I16" s="45">
        <f>+H16*0.4</f>
        <v>221294.775257732</v>
      </c>
      <c r="J16" s="22"/>
      <c r="K16" s="22">
        <f t="shared" si="3"/>
        <v>331942.1628865979</v>
      </c>
      <c r="L16" s="110">
        <f>+'2016 Contrib Key'!K16</f>
        <v>277441.9243986254</v>
      </c>
      <c r="M16" s="130">
        <f t="shared" si="5"/>
        <v>0.19643836671802783</v>
      </c>
      <c r="N16" s="80"/>
      <c r="O16" s="58">
        <f t="shared" si="4"/>
        <v>331942.1628865979</v>
      </c>
      <c r="P16" s="57" t="s">
        <v>60</v>
      </c>
    </row>
    <row r="17" spans="1:16" ht="15.75">
      <c r="A17" s="78" t="s">
        <v>111</v>
      </c>
      <c r="B17" s="84">
        <v>1</v>
      </c>
      <c r="C17" s="45">
        <f t="shared" si="6"/>
        <v>517659</v>
      </c>
      <c r="D17" s="45">
        <f t="shared" si="0"/>
        <v>35577.93814432989</v>
      </c>
      <c r="E17" s="45">
        <f t="shared" si="1"/>
        <v>553236.9381443299</v>
      </c>
      <c r="F17" s="172"/>
      <c r="G17" s="85"/>
      <c r="H17" s="67">
        <f t="shared" si="2"/>
        <v>553236.9381443299</v>
      </c>
      <c r="I17" s="45"/>
      <c r="J17" s="22"/>
      <c r="K17" s="22">
        <f t="shared" si="3"/>
        <v>553236.9381443299</v>
      </c>
      <c r="L17" s="110">
        <f>+'2016 Contrib Key'!K17</f>
        <v>504439.8625429553</v>
      </c>
      <c r="M17" s="130">
        <f t="shared" si="5"/>
        <v>0.09673516949152551</v>
      </c>
      <c r="N17" s="80"/>
      <c r="O17" s="58">
        <f t="shared" si="4"/>
        <v>553236.9381443299</v>
      </c>
      <c r="P17" s="57" t="s">
        <v>60</v>
      </c>
    </row>
    <row r="18" spans="1:16" ht="15.75">
      <c r="A18" s="84" t="s">
        <v>38</v>
      </c>
      <c r="B18" s="84">
        <v>1</v>
      </c>
      <c r="C18" s="45">
        <f t="shared" si="6"/>
        <v>517659</v>
      </c>
      <c r="D18" s="45">
        <f t="shared" si="0"/>
        <v>35577.93814432989</v>
      </c>
      <c r="E18" s="45">
        <f t="shared" si="1"/>
        <v>553236.9381443299</v>
      </c>
      <c r="F18" s="76"/>
      <c r="G18" s="173"/>
      <c r="H18" s="67">
        <f t="shared" si="2"/>
        <v>553236.9381443299</v>
      </c>
      <c r="I18" s="45"/>
      <c r="J18" s="22"/>
      <c r="K18" s="22">
        <f t="shared" si="3"/>
        <v>553236.9381443299</v>
      </c>
      <c r="L18" s="110">
        <f>+'2016 Contrib Key'!K18</f>
        <v>504439.8625429553</v>
      </c>
      <c r="M18" s="130">
        <f t="shared" si="5"/>
        <v>0.09673516949152551</v>
      </c>
      <c r="N18" s="80">
        <f>+$N$8/16</f>
        <v>17288.65431701031</v>
      </c>
      <c r="O18" s="58">
        <f t="shared" si="4"/>
        <v>570525.5924613402</v>
      </c>
      <c r="P18" s="57" t="s">
        <v>60</v>
      </c>
    </row>
    <row r="19" spans="1:16" ht="15.75">
      <c r="A19" s="84" t="s">
        <v>36</v>
      </c>
      <c r="B19" s="84">
        <v>0.5</v>
      </c>
      <c r="C19" s="45">
        <f t="shared" si="6"/>
        <v>258829.5</v>
      </c>
      <c r="D19" s="45">
        <f t="shared" si="0"/>
        <v>17788.969072164946</v>
      </c>
      <c r="E19" s="45">
        <f t="shared" si="1"/>
        <v>276618.46907216497</v>
      </c>
      <c r="F19" s="49"/>
      <c r="G19" s="101"/>
      <c r="H19" s="67">
        <f t="shared" si="2"/>
        <v>276618.46907216497</v>
      </c>
      <c r="I19" s="45"/>
      <c r="J19" s="45"/>
      <c r="K19" s="45">
        <f t="shared" si="3"/>
        <v>276618.46907216497</v>
      </c>
      <c r="L19" s="110">
        <f>+'2016 Contrib Key'!K19</f>
        <v>252219.93127147766</v>
      </c>
      <c r="M19" s="131">
        <f t="shared" si="5"/>
        <v>0.09673516949152551</v>
      </c>
      <c r="N19" s="80">
        <f>+$N$8/16</f>
        <v>17288.65431701031</v>
      </c>
      <c r="O19" s="80">
        <f t="shared" si="4"/>
        <v>293907.1233891753</v>
      </c>
      <c r="P19" s="57" t="s">
        <v>60</v>
      </c>
    </row>
    <row r="20" spans="1:16" ht="15.75">
      <c r="A20" s="84" t="s">
        <v>57</v>
      </c>
      <c r="B20" s="84">
        <v>1</v>
      </c>
      <c r="C20" s="45">
        <f t="shared" si="6"/>
        <v>517659</v>
      </c>
      <c r="D20" s="45">
        <f t="shared" si="0"/>
        <v>35577.93814432989</v>
      </c>
      <c r="E20" s="45">
        <f t="shared" si="1"/>
        <v>553236.9381443299</v>
      </c>
      <c r="F20" s="67"/>
      <c r="G20" s="45"/>
      <c r="H20" s="67">
        <f t="shared" si="2"/>
        <v>553236.9381443299</v>
      </c>
      <c r="I20" s="45">
        <v>40582</v>
      </c>
      <c r="J20" s="22"/>
      <c r="K20" s="22">
        <f t="shared" si="3"/>
        <v>512654.93814432994</v>
      </c>
      <c r="L20" s="110">
        <f>+'2016 Contrib Key'!K20</f>
        <v>429919.8625429553</v>
      </c>
      <c r="M20" s="130">
        <f t="shared" si="5"/>
        <v>0.19244301743120362</v>
      </c>
      <c r="N20" s="80">
        <f>+$N$8/16</f>
        <v>17288.65431701031</v>
      </c>
      <c r="O20" s="58">
        <f t="shared" si="4"/>
        <v>529943.5924613402</v>
      </c>
      <c r="P20" s="57" t="s">
        <v>60</v>
      </c>
    </row>
    <row r="21" spans="1:16" ht="15.75">
      <c r="A21" s="84" t="s">
        <v>73</v>
      </c>
      <c r="B21" s="84">
        <v>1</v>
      </c>
      <c r="C21" s="45">
        <f t="shared" si="6"/>
        <v>517659</v>
      </c>
      <c r="D21" s="45">
        <f t="shared" si="0"/>
        <v>35577.93814432989</v>
      </c>
      <c r="E21" s="45">
        <f t="shared" si="1"/>
        <v>553236.9381443299</v>
      </c>
      <c r="F21" s="67"/>
      <c r="G21" s="45"/>
      <c r="H21" s="67">
        <f t="shared" si="2"/>
        <v>553236.9381443299</v>
      </c>
      <c r="I21" s="45">
        <f>E21*0.4</f>
        <v>221294.775257732</v>
      </c>
      <c r="J21" s="22"/>
      <c r="K21" s="22">
        <f t="shared" si="3"/>
        <v>331942.1628865979</v>
      </c>
      <c r="L21" s="110">
        <f>+'2016 Contrib Key'!K21</f>
        <v>277441.9243986254</v>
      </c>
      <c r="M21" s="130">
        <f t="shared" si="5"/>
        <v>0.19643836671802783</v>
      </c>
      <c r="N21" s="103"/>
      <c r="O21" s="58">
        <f t="shared" si="4"/>
        <v>331942.1628865979</v>
      </c>
      <c r="P21" s="57" t="s">
        <v>60</v>
      </c>
    </row>
    <row r="22" spans="1:16" ht="15.75">
      <c r="A22" s="174" t="s">
        <v>28</v>
      </c>
      <c r="B22" s="174">
        <v>1</v>
      </c>
      <c r="C22" s="48">
        <f t="shared" si="6"/>
        <v>517659</v>
      </c>
      <c r="D22" s="45">
        <f t="shared" si="0"/>
        <v>35577.93814432989</v>
      </c>
      <c r="E22" s="48">
        <f t="shared" si="1"/>
        <v>553236.9381443299</v>
      </c>
      <c r="F22" s="49"/>
      <c r="G22" s="48"/>
      <c r="H22" s="67">
        <f t="shared" si="2"/>
        <v>553236.9381443299</v>
      </c>
      <c r="I22" s="48"/>
      <c r="J22" s="35"/>
      <c r="K22" s="22">
        <f t="shared" si="3"/>
        <v>553236.9381443299</v>
      </c>
      <c r="L22" s="110">
        <f>+'2016 Contrib Key'!K22</f>
        <v>504439.8625429553</v>
      </c>
      <c r="M22" s="130">
        <f t="shared" si="5"/>
        <v>0.09673516949152551</v>
      </c>
      <c r="N22" s="80"/>
      <c r="O22" s="58">
        <f t="shared" si="4"/>
        <v>553236.9381443299</v>
      </c>
      <c r="P22" s="57" t="s">
        <v>60</v>
      </c>
    </row>
    <row r="23" spans="1:16" ht="15.75">
      <c r="A23" s="175" t="s">
        <v>27</v>
      </c>
      <c r="B23" s="174">
        <v>1</v>
      </c>
      <c r="C23" s="48">
        <f t="shared" si="6"/>
        <v>517659</v>
      </c>
      <c r="D23" s="45">
        <f t="shared" si="0"/>
        <v>35577.93814432989</v>
      </c>
      <c r="E23" s="48">
        <f t="shared" si="1"/>
        <v>553236.9381443299</v>
      </c>
      <c r="F23" s="49"/>
      <c r="G23" s="48"/>
      <c r="H23" s="67">
        <f t="shared" si="2"/>
        <v>553236.9381443299</v>
      </c>
      <c r="I23" s="48"/>
      <c r="J23" s="35"/>
      <c r="K23" s="22">
        <f t="shared" si="3"/>
        <v>553236.9381443299</v>
      </c>
      <c r="L23" s="110">
        <f>+'2016 Contrib Key'!K23</f>
        <v>504439.8625429553</v>
      </c>
      <c r="M23" s="130">
        <f t="shared" si="5"/>
        <v>0.09673516949152551</v>
      </c>
      <c r="N23" s="80"/>
      <c r="O23" s="58">
        <f t="shared" si="4"/>
        <v>553236.9381443299</v>
      </c>
      <c r="P23" s="57" t="s">
        <v>60</v>
      </c>
    </row>
    <row r="24" spans="1:16" ht="15.75">
      <c r="A24" s="176" t="s">
        <v>34</v>
      </c>
      <c r="B24" s="174">
        <v>1</v>
      </c>
      <c r="C24" s="48">
        <f t="shared" si="6"/>
        <v>517659</v>
      </c>
      <c r="D24" s="45">
        <f t="shared" si="0"/>
        <v>35577.93814432989</v>
      </c>
      <c r="E24" s="48">
        <f t="shared" si="1"/>
        <v>553236.9381443299</v>
      </c>
      <c r="F24" s="49"/>
      <c r="G24" s="77"/>
      <c r="H24" s="67">
        <f t="shared" si="2"/>
        <v>553236.9381443299</v>
      </c>
      <c r="I24" s="48"/>
      <c r="J24" s="35"/>
      <c r="K24" s="22">
        <f t="shared" si="3"/>
        <v>553236.9381443299</v>
      </c>
      <c r="L24" s="110">
        <f>+'2016 Contrib Key'!K24</f>
        <v>504439.8625429553</v>
      </c>
      <c r="M24" s="130">
        <f t="shared" si="5"/>
        <v>0.09673516949152551</v>
      </c>
      <c r="N24" s="80"/>
      <c r="O24" s="58">
        <f t="shared" si="4"/>
        <v>553236.9381443299</v>
      </c>
      <c r="P24" s="57" t="s">
        <v>60</v>
      </c>
    </row>
    <row r="25" spans="1:16" ht="15">
      <c r="A25" s="84" t="s">
        <v>54</v>
      </c>
      <c r="B25" s="176">
        <v>0.75</v>
      </c>
      <c r="C25" s="100">
        <f t="shared" si="6"/>
        <v>388244.25</v>
      </c>
      <c r="D25" s="45">
        <f t="shared" si="0"/>
        <v>26683.45360824742</v>
      </c>
      <c r="E25" s="100">
        <f t="shared" si="1"/>
        <v>414927.7036082474</v>
      </c>
      <c r="F25" s="76"/>
      <c r="G25" s="173"/>
      <c r="H25" s="67">
        <f t="shared" si="2"/>
        <v>414927.7036082474</v>
      </c>
      <c r="I25" s="100"/>
      <c r="J25" s="34"/>
      <c r="K25" s="22">
        <f t="shared" si="3"/>
        <v>414927.7036082474</v>
      </c>
      <c r="L25" s="110">
        <f>+'2016 Contrib Key'!K25</f>
        <v>378329.8969072165</v>
      </c>
      <c r="M25" s="130">
        <f t="shared" si="5"/>
        <v>0.09673516949152527</v>
      </c>
      <c r="N25" s="80">
        <f>+$N$8/16</f>
        <v>17288.65431701031</v>
      </c>
      <c r="O25" s="58">
        <f t="shared" si="4"/>
        <v>432216.3579252577</v>
      </c>
      <c r="P25" s="57" t="s">
        <v>60</v>
      </c>
    </row>
    <row r="26" spans="1:16" ht="15">
      <c r="A26" s="84" t="s">
        <v>76</v>
      </c>
      <c r="B26" s="84">
        <v>0.5</v>
      </c>
      <c r="C26" s="45">
        <f t="shared" si="6"/>
        <v>258829.5</v>
      </c>
      <c r="D26" s="45">
        <f t="shared" si="0"/>
        <v>17788.969072164946</v>
      </c>
      <c r="E26" s="45">
        <f t="shared" si="1"/>
        <v>276618.46907216497</v>
      </c>
      <c r="F26" s="67">
        <v>35000</v>
      </c>
      <c r="G26" s="75" t="s">
        <v>37</v>
      </c>
      <c r="H26" s="67">
        <f t="shared" si="2"/>
        <v>241618.46907216497</v>
      </c>
      <c r="I26" s="45"/>
      <c r="J26" s="22"/>
      <c r="K26" s="22">
        <f t="shared" si="3"/>
        <v>241618.46907216497</v>
      </c>
      <c r="L26" s="110">
        <f>+'2016 Contrib Key'!K26</f>
        <v>217219.93127147766</v>
      </c>
      <c r="M26" s="130">
        <f t="shared" si="5"/>
        <v>0.1123218189872017</v>
      </c>
      <c r="N26" s="80"/>
      <c r="O26" s="58">
        <f t="shared" si="4"/>
        <v>241618.46907216497</v>
      </c>
      <c r="P26" s="57" t="s">
        <v>60</v>
      </c>
    </row>
    <row r="27" spans="1:16" ht="15">
      <c r="A27" s="84" t="s">
        <v>32</v>
      </c>
      <c r="B27" s="84">
        <v>1</v>
      </c>
      <c r="C27" s="45">
        <f t="shared" si="6"/>
        <v>517659</v>
      </c>
      <c r="D27" s="45">
        <f t="shared" si="0"/>
        <v>35577.93814432989</v>
      </c>
      <c r="E27" s="45">
        <f t="shared" si="1"/>
        <v>553236.9381443299</v>
      </c>
      <c r="F27" s="67"/>
      <c r="G27" s="45"/>
      <c r="H27" s="67">
        <f t="shared" si="2"/>
        <v>553236.9381443299</v>
      </c>
      <c r="I27" s="45"/>
      <c r="J27" s="22"/>
      <c r="K27" s="22">
        <f t="shared" si="3"/>
        <v>553236.9381443299</v>
      </c>
      <c r="L27" s="110">
        <f>+'2016 Contrib Key'!K27</f>
        <v>504439.8625429553</v>
      </c>
      <c r="M27" s="130">
        <f t="shared" si="5"/>
        <v>0.09673516949152551</v>
      </c>
      <c r="N27" s="80">
        <f>+$N$8/16</f>
        <v>17288.65431701031</v>
      </c>
      <c r="O27" s="58">
        <f t="shared" si="4"/>
        <v>570525.5924613402</v>
      </c>
      <c r="P27" s="57" t="s">
        <v>60</v>
      </c>
    </row>
    <row r="28" spans="1:16" ht="15">
      <c r="A28" s="84" t="s">
        <v>75</v>
      </c>
      <c r="B28" s="84">
        <v>1</v>
      </c>
      <c r="C28" s="45">
        <f t="shared" si="6"/>
        <v>517659</v>
      </c>
      <c r="D28" s="45">
        <f t="shared" si="0"/>
        <v>35577.93814432989</v>
      </c>
      <c r="E28" s="45">
        <f t="shared" si="1"/>
        <v>553236.9381443299</v>
      </c>
      <c r="F28" s="67"/>
      <c r="G28" s="45"/>
      <c r="H28" s="67">
        <f t="shared" si="2"/>
        <v>553236.9381443299</v>
      </c>
      <c r="I28" s="45"/>
      <c r="J28" s="22"/>
      <c r="K28" s="22">
        <f t="shared" si="3"/>
        <v>553236.9381443299</v>
      </c>
      <c r="L28" s="110">
        <f>+'2016 Contrib Key'!K28</f>
        <v>504439.8625429553</v>
      </c>
      <c r="M28" s="130">
        <f t="shared" si="5"/>
        <v>0.09673516949152551</v>
      </c>
      <c r="N28" s="80">
        <f>+$N$8/16</f>
        <v>17288.65431701031</v>
      </c>
      <c r="O28" s="58">
        <f t="shared" si="4"/>
        <v>570525.5924613402</v>
      </c>
      <c r="P28" s="57" t="s">
        <v>60</v>
      </c>
    </row>
    <row r="29" spans="1:16" ht="15">
      <c r="A29" s="174" t="s">
        <v>26</v>
      </c>
      <c r="B29" s="174">
        <v>1</v>
      </c>
      <c r="C29" s="48">
        <f t="shared" si="6"/>
        <v>517659</v>
      </c>
      <c r="D29" s="45">
        <f t="shared" si="0"/>
        <v>35577.93814432989</v>
      </c>
      <c r="E29" s="48">
        <f t="shared" si="1"/>
        <v>553236.9381443299</v>
      </c>
      <c r="F29" s="49"/>
      <c r="G29" s="48"/>
      <c r="H29" s="67">
        <f t="shared" si="2"/>
        <v>553236.9381443299</v>
      </c>
      <c r="I29" s="48"/>
      <c r="J29" s="35"/>
      <c r="K29" s="22">
        <f t="shared" si="3"/>
        <v>553236.9381443299</v>
      </c>
      <c r="L29" s="110">
        <f>+'2016 Contrib Key'!K29</f>
        <v>504439.8625429553</v>
      </c>
      <c r="M29" s="130">
        <f t="shared" si="5"/>
        <v>0.09673516949152551</v>
      </c>
      <c r="N29" s="104"/>
      <c r="O29" s="58">
        <f t="shared" si="4"/>
        <v>553236.9381443299</v>
      </c>
      <c r="P29" s="57" t="s">
        <v>60</v>
      </c>
    </row>
    <row r="30" spans="1:16" ht="15">
      <c r="A30" s="176" t="s">
        <v>39</v>
      </c>
      <c r="B30" s="176">
        <v>1</v>
      </c>
      <c r="C30" s="100">
        <f t="shared" si="6"/>
        <v>517659</v>
      </c>
      <c r="D30" s="45">
        <f t="shared" si="0"/>
        <v>35577.93814432989</v>
      </c>
      <c r="E30" s="45">
        <f t="shared" si="1"/>
        <v>553236.9381443299</v>
      </c>
      <c r="F30" s="76"/>
      <c r="G30" s="173"/>
      <c r="H30" s="67">
        <f t="shared" si="2"/>
        <v>553236.9381443299</v>
      </c>
      <c r="I30" s="100"/>
      <c r="J30" s="34"/>
      <c r="K30" s="22">
        <f t="shared" si="3"/>
        <v>553236.9381443299</v>
      </c>
      <c r="L30" s="110">
        <f>+'2016 Contrib Key'!K30</f>
        <v>504439.8625429553</v>
      </c>
      <c r="M30" s="130">
        <f t="shared" si="5"/>
        <v>0.09673516949152551</v>
      </c>
      <c r="N30" s="80">
        <f>+$N$8/16</f>
        <v>17288.65431701031</v>
      </c>
      <c r="O30" s="58">
        <f t="shared" si="4"/>
        <v>570525.5924613402</v>
      </c>
      <c r="P30" s="57" t="s">
        <v>60</v>
      </c>
    </row>
    <row r="31" spans="1:16" ht="15">
      <c r="A31" s="84" t="s">
        <v>72</v>
      </c>
      <c r="B31" s="84">
        <v>1.25</v>
      </c>
      <c r="C31" s="45">
        <f t="shared" si="6"/>
        <v>647073.75</v>
      </c>
      <c r="D31" s="45">
        <f t="shared" si="0"/>
        <v>44472.42268041236</v>
      </c>
      <c r="E31" s="45">
        <f t="shared" si="1"/>
        <v>691546.1726804124</v>
      </c>
      <c r="F31" s="67"/>
      <c r="G31" s="45"/>
      <c r="H31" s="67">
        <f t="shared" si="2"/>
        <v>691546.1726804124</v>
      </c>
      <c r="I31" s="45"/>
      <c r="J31" s="22"/>
      <c r="K31" s="22">
        <f t="shared" si="3"/>
        <v>691546.1726804124</v>
      </c>
      <c r="L31" s="110">
        <f>+'2016 Contrib Key'!K31</f>
        <v>630549.8281786941</v>
      </c>
      <c r="M31" s="130">
        <f t="shared" si="5"/>
        <v>0.09673516949152557</v>
      </c>
      <c r="N31" s="80">
        <f>+$N$8/16</f>
        <v>17288.65431701031</v>
      </c>
      <c r="O31" s="58">
        <f t="shared" si="4"/>
        <v>708834.8269974227</v>
      </c>
      <c r="P31" s="57" t="s">
        <v>60</v>
      </c>
    </row>
    <row r="32" spans="1:16" ht="15">
      <c r="A32" s="84" t="s">
        <v>25</v>
      </c>
      <c r="B32" s="84">
        <v>1</v>
      </c>
      <c r="C32" s="45">
        <f t="shared" si="6"/>
        <v>517659</v>
      </c>
      <c r="D32" s="45">
        <f t="shared" si="0"/>
        <v>35577.93814432989</v>
      </c>
      <c r="E32" s="45">
        <f t="shared" si="1"/>
        <v>553236.9381443299</v>
      </c>
      <c r="F32" s="67"/>
      <c r="G32" s="45"/>
      <c r="H32" s="67">
        <f t="shared" si="2"/>
        <v>553236.9381443299</v>
      </c>
      <c r="I32" s="45"/>
      <c r="J32" s="22"/>
      <c r="K32" s="22">
        <f t="shared" si="3"/>
        <v>553236.9381443299</v>
      </c>
      <c r="L32" s="110">
        <f>+'2016 Contrib Key'!K32</f>
        <v>504439.8625429553</v>
      </c>
      <c r="M32" s="130">
        <f t="shared" si="5"/>
        <v>0.09673516949152551</v>
      </c>
      <c r="N32" s="104"/>
      <c r="O32" s="58">
        <f t="shared" si="4"/>
        <v>553236.9381443299</v>
      </c>
      <c r="P32" s="57" t="s">
        <v>60</v>
      </c>
    </row>
    <row r="33" spans="1:16" ht="15">
      <c r="A33" s="84" t="s">
        <v>24</v>
      </c>
      <c r="B33" s="84">
        <v>2</v>
      </c>
      <c r="C33" s="45">
        <f t="shared" si="6"/>
        <v>1035318</v>
      </c>
      <c r="D33" s="45">
        <f t="shared" si="0"/>
        <v>71155.87628865978</v>
      </c>
      <c r="E33" s="45">
        <f t="shared" si="1"/>
        <v>1106473.8762886599</v>
      </c>
      <c r="F33" s="67"/>
      <c r="G33" s="45"/>
      <c r="H33" s="67">
        <f t="shared" si="2"/>
        <v>1106473.8762886599</v>
      </c>
      <c r="I33" s="45"/>
      <c r="J33" s="22"/>
      <c r="K33" s="22">
        <f t="shared" si="3"/>
        <v>1106473.8762886599</v>
      </c>
      <c r="L33" s="110">
        <f>+'2016 Contrib Key'!K33</f>
        <v>1008879.7250859106</v>
      </c>
      <c r="M33" s="130">
        <f t="shared" si="5"/>
        <v>0.09673516949152551</v>
      </c>
      <c r="N33" s="104"/>
      <c r="O33" s="58">
        <f t="shared" si="4"/>
        <v>1106473.8762886599</v>
      </c>
      <c r="P33" s="57" t="s">
        <v>60</v>
      </c>
    </row>
    <row r="34" spans="1:16" ht="15">
      <c r="A34" s="84" t="s">
        <v>31</v>
      </c>
      <c r="B34" s="84">
        <v>1</v>
      </c>
      <c r="C34" s="45">
        <f t="shared" si="6"/>
        <v>517659</v>
      </c>
      <c r="D34" s="45">
        <f t="shared" si="0"/>
        <v>35577.93814432989</v>
      </c>
      <c r="E34" s="45">
        <f t="shared" si="1"/>
        <v>553236.9381443299</v>
      </c>
      <c r="F34" s="67"/>
      <c r="G34" s="45"/>
      <c r="H34" s="67">
        <f t="shared" si="2"/>
        <v>553236.9381443299</v>
      </c>
      <c r="I34" s="45"/>
      <c r="J34" s="22"/>
      <c r="K34" s="22">
        <f t="shared" si="3"/>
        <v>553236.9381443299</v>
      </c>
      <c r="L34" s="110">
        <f>+'2016 Contrib Key'!K34</f>
        <v>504439.8625429553</v>
      </c>
      <c r="M34" s="130">
        <f t="shared" si="5"/>
        <v>0.09673516949152551</v>
      </c>
      <c r="N34" s="80"/>
      <c r="O34" s="58">
        <f t="shared" si="4"/>
        <v>553236.9381443299</v>
      </c>
      <c r="P34" s="57" t="s">
        <v>60</v>
      </c>
    </row>
    <row r="35" spans="1:16" ht="15">
      <c r="A35" s="84" t="s">
        <v>43</v>
      </c>
      <c r="B35" s="84">
        <v>1</v>
      </c>
      <c r="C35" s="45">
        <f t="shared" si="6"/>
        <v>517659</v>
      </c>
      <c r="D35" s="45">
        <f t="shared" si="0"/>
        <v>35577.93814432989</v>
      </c>
      <c r="E35" s="45">
        <f t="shared" si="1"/>
        <v>553236.9381443299</v>
      </c>
      <c r="F35" s="67">
        <v>35000</v>
      </c>
      <c r="G35" s="75" t="s">
        <v>37</v>
      </c>
      <c r="H35" s="67">
        <f t="shared" si="2"/>
        <v>518236.93814432994</v>
      </c>
      <c r="I35" s="45"/>
      <c r="J35" s="22"/>
      <c r="K35" s="22">
        <f t="shared" si="3"/>
        <v>518236.93814432994</v>
      </c>
      <c r="L35" s="110">
        <f>+'2016 Contrib Key'!K35</f>
        <v>469439.8625429553</v>
      </c>
      <c r="M35" s="130">
        <f t="shared" si="5"/>
        <v>0.10394744778818078</v>
      </c>
      <c r="N35" s="80">
        <f>+$N$8/16</f>
        <v>17288.65431701031</v>
      </c>
      <c r="O35" s="58">
        <f t="shared" si="4"/>
        <v>535525.5924613402</v>
      </c>
      <c r="P35" s="57" t="s">
        <v>60</v>
      </c>
    </row>
    <row r="36" spans="1:16" ht="15">
      <c r="A36" s="84" t="s">
        <v>74</v>
      </c>
      <c r="B36" s="84">
        <v>1</v>
      </c>
      <c r="C36" s="45">
        <f t="shared" si="6"/>
        <v>517659</v>
      </c>
      <c r="D36" s="45">
        <f t="shared" si="0"/>
        <v>35577.93814432989</v>
      </c>
      <c r="E36" s="45">
        <f t="shared" si="1"/>
        <v>553236.9381443299</v>
      </c>
      <c r="F36" s="67"/>
      <c r="G36" s="67"/>
      <c r="H36" s="67">
        <f t="shared" si="2"/>
        <v>553236.9381443299</v>
      </c>
      <c r="I36" s="45"/>
      <c r="J36" s="22"/>
      <c r="K36" s="22">
        <f t="shared" si="3"/>
        <v>553236.9381443299</v>
      </c>
      <c r="L36" s="110">
        <f>+'2016 Contrib Key'!K36</f>
        <v>504439.8625429553</v>
      </c>
      <c r="M36" s="130">
        <f t="shared" si="5"/>
        <v>0.09673516949152551</v>
      </c>
      <c r="N36" s="80"/>
      <c r="O36" s="58">
        <f t="shared" si="4"/>
        <v>553236.9381443299</v>
      </c>
      <c r="P36" s="57" t="s">
        <v>60</v>
      </c>
    </row>
    <row r="37" spans="1:16" ht="15">
      <c r="A37" s="84" t="s">
        <v>53</v>
      </c>
      <c r="B37" s="84">
        <v>0.5</v>
      </c>
      <c r="C37" s="45">
        <f t="shared" si="6"/>
        <v>258829.5</v>
      </c>
      <c r="D37" s="45">
        <f t="shared" si="0"/>
        <v>17788.969072164946</v>
      </c>
      <c r="E37" s="45">
        <f t="shared" si="1"/>
        <v>276618.46907216497</v>
      </c>
      <c r="F37" s="78"/>
      <c r="G37" s="45"/>
      <c r="H37" s="67">
        <f t="shared" si="2"/>
        <v>276618.46907216497</v>
      </c>
      <c r="I37" s="45"/>
      <c r="J37" s="22"/>
      <c r="K37" s="45">
        <f t="shared" si="3"/>
        <v>276618.46907216497</v>
      </c>
      <c r="L37" s="110">
        <f>+'2016 Contrib Key'!K37</f>
        <v>252219.93127147766</v>
      </c>
      <c r="M37" s="130">
        <f t="shared" si="5"/>
        <v>0.09673516949152551</v>
      </c>
      <c r="N37" s="80">
        <f>+$N$8/16</f>
        <v>17288.65431701031</v>
      </c>
      <c r="O37" s="58">
        <f t="shared" si="4"/>
        <v>293907.1233891753</v>
      </c>
      <c r="P37" s="57" t="s">
        <v>60</v>
      </c>
    </row>
    <row r="38" spans="1:16" ht="15">
      <c r="A38" s="84" t="s">
        <v>29</v>
      </c>
      <c r="B38" s="84">
        <v>1</v>
      </c>
      <c r="C38" s="45">
        <f t="shared" si="6"/>
        <v>517659</v>
      </c>
      <c r="D38" s="45">
        <f t="shared" si="0"/>
        <v>35577.93814432989</v>
      </c>
      <c r="E38" s="45">
        <f t="shared" si="1"/>
        <v>553236.9381443299</v>
      </c>
      <c r="F38" s="45"/>
      <c r="G38" s="45"/>
      <c r="H38" s="67">
        <f t="shared" si="2"/>
        <v>553236.9381443299</v>
      </c>
      <c r="I38" s="45"/>
      <c r="J38" s="22"/>
      <c r="K38" s="22">
        <f t="shared" si="3"/>
        <v>553236.9381443299</v>
      </c>
      <c r="L38" s="110">
        <f>+'2016 Contrib Key'!K38</f>
        <v>504439.8625429553</v>
      </c>
      <c r="M38" s="130">
        <f t="shared" si="5"/>
        <v>0.09673516949152551</v>
      </c>
      <c r="N38" s="80">
        <f>+$N$8/16</f>
        <v>17288.65431701031</v>
      </c>
      <c r="O38" s="58">
        <f t="shared" si="4"/>
        <v>570525.5924613402</v>
      </c>
      <c r="P38" s="57" t="s">
        <v>60</v>
      </c>
    </row>
    <row r="39" spans="1:16" ht="15">
      <c r="A39" s="84" t="s">
        <v>40</v>
      </c>
      <c r="B39" s="84">
        <v>0.75</v>
      </c>
      <c r="C39" s="45">
        <f t="shared" si="6"/>
        <v>388244.25</v>
      </c>
      <c r="D39" s="45">
        <f t="shared" si="0"/>
        <v>26683.45360824742</v>
      </c>
      <c r="E39" s="45">
        <f t="shared" si="1"/>
        <v>414927.7036082474</v>
      </c>
      <c r="F39" s="45"/>
      <c r="G39" s="99"/>
      <c r="H39" s="67">
        <f t="shared" si="2"/>
        <v>414927.7036082474</v>
      </c>
      <c r="I39" s="45"/>
      <c r="J39" s="22"/>
      <c r="K39" s="22">
        <f t="shared" si="3"/>
        <v>414927.7036082474</v>
      </c>
      <c r="L39" s="110">
        <f>+'2016 Contrib Key'!K39</f>
        <v>378329.8969072165</v>
      </c>
      <c r="M39" s="130">
        <f t="shared" si="5"/>
        <v>0.09673516949152527</v>
      </c>
      <c r="N39" s="80">
        <f>+$N$8/16</f>
        <v>17288.65431701031</v>
      </c>
      <c r="O39" s="58">
        <f t="shared" si="4"/>
        <v>432216.3579252577</v>
      </c>
      <c r="P39" s="57" t="s">
        <v>60</v>
      </c>
    </row>
    <row r="40" spans="1:16" ht="15">
      <c r="A40" s="84" t="s">
        <v>33</v>
      </c>
      <c r="B40" s="84">
        <v>1</v>
      </c>
      <c r="C40" s="45">
        <f t="shared" si="6"/>
        <v>517659</v>
      </c>
      <c r="D40" s="45">
        <f t="shared" si="0"/>
        <v>35577.93814432989</v>
      </c>
      <c r="E40" s="45">
        <f t="shared" si="1"/>
        <v>553236.9381443299</v>
      </c>
      <c r="F40" s="45"/>
      <c r="G40" s="45"/>
      <c r="H40" s="67">
        <f t="shared" si="2"/>
        <v>553236.9381443299</v>
      </c>
      <c r="I40" s="45"/>
      <c r="J40" s="22"/>
      <c r="K40" s="22">
        <f t="shared" si="3"/>
        <v>553236.9381443299</v>
      </c>
      <c r="L40" s="110">
        <f>+'2016 Contrib Key'!K40</f>
        <v>504439.8625429553</v>
      </c>
      <c r="M40" s="130">
        <f t="shared" si="5"/>
        <v>0.09673516949152551</v>
      </c>
      <c r="N40" s="80"/>
      <c r="O40" s="58">
        <f t="shared" si="4"/>
        <v>553236.9381443299</v>
      </c>
      <c r="P40" s="57" t="s">
        <v>60</v>
      </c>
    </row>
    <row r="41" spans="1:16" ht="15">
      <c r="A41" s="78" t="s">
        <v>77</v>
      </c>
      <c r="B41" s="78">
        <v>0.25</v>
      </c>
      <c r="C41" s="67">
        <f t="shared" si="6"/>
        <v>129414.75</v>
      </c>
      <c r="D41" s="45">
        <f t="shared" si="0"/>
        <v>8894.484536082473</v>
      </c>
      <c r="E41" s="67">
        <f t="shared" si="1"/>
        <v>138309.23453608248</v>
      </c>
      <c r="F41" s="67"/>
      <c r="G41" s="67"/>
      <c r="H41" s="67">
        <f t="shared" si="2"/>
        <v>138309.23453608248</v>
      </c>
      <c r="I41" s="67"/>
      <c r="J41" s="28"/>
      <c r="K41" s="28">
        <f t="shared" si="3"/>
        <v>138309.23453608248</v>
      </c>
      <c r="L41" s="110">
        <f>+'2016 Contrib Key'!K41</f>
        <v>126109.96563573883</v>
      </c>
      <c r="M41" s="130">
        <f t="shared" si="5"/>
        <v>0.09673516949152551</v>
      </c>
      <c r="N41" s="80"/>
      <c r="O41" s="80"/>
      <c r="P41" s="57" t="s">
        <v>60</v>
      </c>
    </row>
    <row r="42" spans="1:16" ht="15.75" thickBot="1">
      <c r="A42" s="78"/>
      <c r="B42" s="177"/>
      <c r="C42" s="86"/>
      <c r="D42" s="178"/>
      <c r="E42" s="86"/>
      <c r="F42" s="86"/>
      <c r="G42" s="86"/>
      <c r="H42" s="86"/>
      <c r="I42" s="86"/>
      <c r="J42" s="87"/>
      <c r="K42" s="87"/>
      <c r="L42" s="111"/>
      <c r="M42" s="132"/>
      <c r="N42" s="105"/>
      <c r="O42" s="89"/>
      <c r="P42" s="90"/>
    </row>
    <row r="43" spans="1:16" ht="15.75" thickBot="1">
      <c r="A43" s="84"/>
      <c r="B43" s="179">
        <f>SUM(B10:B42)</f>
        <v>29.1</v>
      </c>
      <c r="C43" s="180">
        <f>SUM(C10:C42)</f>
        <v>15012111</v>
      </c>
      <c r="D43" s="180">
        <f>SUM(D10:D42)</f>
        <v>1035318.0000000001</v>
      </c>
      <c r="E43" s="138">
        <f>SUM(E10:E42)</f>
        <v>16047429</v>
      </c>
      <c r="F43" s="93">
        <f>SUM(F10:F42)</f>
        <v>346618.46907216497</v>
      </c>
      <c r="G43" s="181" t="s">
        <v>45</v>
      </c>
      <c r="H43" s="182">
        <f>SUM(H10:H42)</f>
        <v>15700810.530927833</v>
      </c>
      <c r="I43" s="183">
        <f>SUM(I10:I42)</f>
        <v>815113.713402062</v>
      </c>
      <c r="J43" s="27">
        <f>SUM(J10:J42)</f>
        <v>0</v>
      </c>
      <c r="K43" s="93">
        <f>SUM(K10:K42)</f>
        <v>14885696.81752577</v>
      </c>
      <c r="L43" s="112">
        <f>SUM(L10:L42)</f>
        <v>13453378.281786941</v>
      </c>
      <c r="M43" s="133">
        <f>+(K43-L43)/L43</f>
        <v>0.10646534318282636</v>
      </c>
      <c r="N43" s="106">
        <f>SUM(N10:N42)</f>
        <v>276618.46907216497</v>
      </c>
      <c r="O43" s="56">
        <f>SUM(O10:O42)</f>
        <v>15024006.052061858</v>
      </c>
      <c r="P43" s="50">
        <f>+F43+E44</f>
        <v>1300000</v>
      </c>
    </row>
    <row r="44" spans="1:16" ht="16.5" thickBot="1" thickTop="1">
      <c r="A44" s="184"/>
      <c r="B44" s="184" t="s">
        <v>61</v>
      </c>
      <c r="C44" s="185"/>
      <c r="D44" s="176"/>
      <c r="E44" s="186">
        <f>1300000-F43</f>
        <v>953381.530927835</v>
      </c>
      <c r="F44" s="187" t="s">
        <v>42</v>
      </c>
      <c r="G44" s="188"/>
      <c r="H44" s="51">
        <f>+E44+F43</f>
        <v>1300000</v>
      </c>
      <c r="I44" s="189" t="s">
        <v>62</v>
      </c>
      <c r="J44" s="26"/>
      <c r="K44" s="82">
        <f>+H44</f>
        <v>1300000</v>
      </c>
      <c r="L44" s="114">
        <f>+'2016 Contrib Key'!K44</f>
        <v>1200000</v>
      </c>
      <c r="M44" s="134">
        <f>+(K44-L44)/L44</f>
        <v>0.08333333333333333</v>
      </c>
      <c r="N44" s="107">
        <f>+K41-N43</f>
        <v>-138309.23453608248</v>
      </c>
      <c r="O44" s="91">
        <f>+N44</f>
        <v>-138309.23453608248</v>
      </c>
      <c r="P44" s="59" t="s">
        <v>62</v>
      </c>
    </row>
    <row r="45" spans="1:16" ht="15.75" thickBot="1">
      <c r="A45" s="184"/>
      <c r="B45" s="190"/>
      <c r="C45" s="191"/>
      <c r="D45" s="192"/>
      <c r="E45" s="193">
        <f>SUM(E43:E44)</f>
        <v>17000810.530927837</v>
      </c>
      <c r="F45" s="49"/>
      <c r="G45" s="194"/>
      <c r="H45" s="195">
        <f>SUM(H43:H44)</f>
        <v>17000810.530927833</v>
      </c>
      <c r="I45" s="196"/>
      <c r="J45" s="40"/>
      <c r="K45" s="102">
        <f>SUM(K43:K44)</f>
        <v>16185696.81752577</v>
      </c>
      <c r="L45" s="116">
        <f>SUM(L43:L44)</f>
        <v>14653378.281786941</v>
      </c>
      <c r="M45" s="135">
        <f>+(K45-L45)/L45</f>
        <v>0.1045710078776433</v>
      </c>
      <c r="N45" s="108">
        <f>SUM(N43:N44)</f>
        <v>138309.23453608248</v>
      </c>
      <c r="O45" s="96">
        <f>SUM(O43:O44)</f>
        <v>14885696.817525774</v>
      </c>
      <c r="P45" s="24"/>
    </row>
    <row r="46" spans="1:15" ht="15" thickTop="1">
      <c r="A46" s="197"/>
      <c r="B46" s="198"/>
      <c r="C46" s="137"/>
      <c r="D46" s="137"/>
      <c r="E46" s="199"/>
      <c r="F46" s="199"/>
      <c r="G46" s="199"/>
      <c r="H46" s="199"/>
      <c r="I46" s="74"/>
      <c r="J46" s="8"/>
      <c r="K46" s="33"/>
      <c r="L46" s="33"/>
      <c r="M46" s="33"/>
      <c r="N46" s="33">
        <f>+N44</f>
        <v>-138309.23453608248</v>
      </c>
      <c r="O46" s="23" t="s">
        <v>112</v>
      </c>
    </row>
    <row r="47" spans="1:13" ht="15">
      <c r="A47" s="200"/>
      <c r="B47" s="201" t="s">
        <v>49</v>
      </c>
      <c r="C47" s="202" t="s">
        <v>45</v>
      </c>
      <c r="D47" s="137" t="s">
        <v>65</v>
      </c>
      <c r="E47" s="203"/>
      <c r="F47" s="137"/>
      <c r="G47" s="204"/>
      <c r="H47" s="137"/>
      <c r="I47" s="202" t="s">
        <v>67</v>
      </c>
      <c r="J47" s="1" t="s">
        <v>69</v>
      </c>
      <c r="K47"/>
      <c r="L47"/>
      <c r="M47"/>
    </row>
    <row r="48" spans="1:14" ht="15">
      <c r="A48" s="200"/>
      <c r="B48" s="137"/>
      <c r="C48" s="202" t="s">
        <v>42</v>
      </c>
      <c r="D48" s="137" t="s">
        <v>68</v>
      </c>
      <c r="E48" s="137"/>
      <c r="F48" s="137"/>
      <c r="G48" s="137"/>
      <c r="H48" s="137"/>
      <c r="I48" s="202" t="s">
        <v>37</v>
      </c>
      <c r="J48" s="1" t="s">
        <v>79</v>
      </c>
      <c r="L48"/>
      <c r="M48"/>
      <c r="N48"/>
    </row>
    <row r="49" spans="1:10" ht="15">
      <c r="A49" s="205"/>
      <c r="B49" s="137"/>
      <c r="C49" s="202" t="s">
        <v>62</v>
      </c>
      <c r="D49" s="206" t="s">
        <v>80</v>
      </c>
      <c r="E49" s="137"/>
      <c r="F49" s="137"/>
      <c r="G49" s="137"/>
      <c r="H49" s="137"/>
      <c r="I49" s="202" t="s">
        <v>14</v>
      </c>
      <c r="J49" s="1" t="s">
        <v>46</v>
      </c>
    </row>
    <row r="50" spans="1:14" ht="15">
      <c r="A50" s="205"/>
      <c r="B50" s="137"/>
      <c r="C50" s="137"/>
      <c r="D50" s="137"/>
      <c r="E50" s="137"/>
      <c r="F50" s="137"/>
      <c r="G50" s="137"/>
      <c r="H50" s="202"/>
      <c r="I50" s="137"/>
      <c r="J50"/>
      <c r="K50"/>
      <c r="L50"/>
      <c r="N50"/>
    </row>
    <row r="51" spans="1:14" ht="15">
      <c r="A51" s="30"/>
      <c r="B51" s="203"/>
      <c r="C51" s="137"/>
      <c r="D51" s="137"/>
      <c r="E51" s="203"/>
      <c r="F51" s="203"/>
      <c r="G51" s="203"/>
      <c r="H51" s="202"/>
      <c r="I51" s="137"/>
      <c r="K51"/>
      <c r="L51"/>
      <c r="M51"/>
      <c r="N51"/>
    </row>
    <row r="52" spans="1:9" ht="15">
      <c r="A52" s="137"/>
      <c r="B52" s="137"/>
      <c r="C52" s="137"/>
      <c r="D52" s="137"/>
      <c r="E52" s="207"/>
      <c r="F52" s="137"/>
      <c r="G52" s="137"/>
      <c r="H52" s="202"/>
      <c r="I52" s="137"/>
    </row>
    <row r="53" spans="1:9" ht="15">
      <c r="A53" s="137"/>
      <c r="B53" s="137"/>
      <c r="C53" s="137"/>
      <c r="D53" s="137"/>
      <c r="E53" s="137"/>
      <c r="F53" s="137"/>
      <c r="G53" s="137"/>
      <c r="H53" s="137"/>
      <c r="I53" s="137"/>
    </row>
    <row r="54" spans="1:9" ht="15">
      <c r="A54" s="137"/>
      <c r="B54" s="137"/>
      <c r="C54" s="137"/>
      <c r="D54" s="137"/>
      <c r="E54" s="207"/>
      <c r="F54" s="207"/>
      <c r="G54" s="207"/>
      <c r="H54" s="207"/>
      <c r="I54" s="137"/>
    </row>
    <row r="55" spans="1:9" ht="15">
      <c r="A55" s="137"/>
      <c r="B55" s="137"/>
      <c r="C55" s="137"/>
      <c r="D55" s="137"/>
      <c r="E55" s="137"/>
      <c r="F55" s="137"/>
      <c r="G55" s="137"/>
      <c r="H55" s="137"/>
      <c r="I55" s="137"/>
    </row>
    <row r="56" spans="1:9" ht="15">
      <c r="A56" s="137"/>
      <c r="B56" s="137"/>
      <c r="C56" s="137"/>
      <c r="D56" s="137"/>
      <c r="E56" s="208"/>
      <c r="F56" s="208"/>
      <c r="G56" s="208"/>
      <c r="H56" s="208"/>
      <c r="I56" s="137"/>
    </row>
    <row r="57" spans="1:9" ht="15">
      <c r="A57" s="137"/>
      <c r="B57" s="137"/>
      <c r="C57" s="137"/>
      <c r="D57" s="137"/>
      <c r="E57" s="137"/>
      <c r="F57" s="137"/>
      <c r="G57" s="137"/>
      <c r="H57" s="137"/>
      <c r="I57" s="137"/>
    </row>
    <row r="58" spans="1:9" ht="15">
      <c r="A58" s="137"/>
      <c r="B58" s="137"/>
      <c r="C58" s="137"/>
      <c r="D58" s="137"/>
      <c r="E58" s="209"/>
      <c r="F58" s="209"/>
      <c r="G58" s="209"/>
      <c r="H58" s="209"/>
      <c r="I58" s="137"/>
    </row>
    <row r="59" spans="1:9" ht="15">
      <c r="A59" s="137"/>
      <c r="B59" s="137"/>
      <c r="C59" s="137"/>
      <c r="D59" s="137"/>
      <c r="E59" s="137"/>
      <c r="F59" s="137"/>
      <c r="G59" s="137"/>
      <c r="H59" s="137"/>
      <c r="I59" s="137"/>
    </row>
    <row r="60" spans="1:9" ht="15">
      <c r="A60" s="137"/>
      <c r="B60" s="137"/>
      <c r="C60" s="137"/>
      <c r="D60" s="137"/>
      <c r="E60" s="207"/>
      <c r="F60" s="207"/>
      <c r="G60" s="207"/>
      <c r="H60" s="207"/>
      <c r="I60" s="137"/>
    </row>
    <row r="61" spans="1:9" ht="15">
      <c r="A61" s="137"/>
      <c r="B61" s="137"/>
      <c r="C61" s="137"/>
      <c r="D61" s="210"/>
      <c r="E61" s="207"/>
      <c r="F61" s="207"/>
      <c r="G61" s="207"/>
      <c r="H61" s="207"/>
      <c r="I61" s="209"/>
    </row>
    <row r="62" spans="1:13" ht="15">
      <c r="A62" s="137"/>
      <c r="B62" s="203"/>
      <c r="C62" s="203"/>
      <c r="D62" s="43"/>
      <c r="E62" s="207"/>
      <c r="F62" s="207"/>
      <c r="G62" s="207"/>
      <c r="H62" s="207"/>
      <c r="I62" s="137"/>
      <c r="L62"/>
      <c r="M62"/>
    </row>
    <row r="63" spans="1:9" ht="15">
      <c r="A63" s="137"/>
      <c r="B63" s="137"/>
      <c r="C63" s="137"/>
      <c r="D63" s="137"/>
      <c r="E63" s="207"/>
      <c r="F63" s="207"/>
      <c r="G63" s="207"/>
      <c r="H63" s="207"/>
      <c r="I63" s="137"/>
    </row>
    <row r="64" spans="1:9" ht="15">
      <c r="A64" s="137"/>
      <c r="B64" s="137"/>
      <c r="C64" s="137"/>
      <c r="D64" s="137"/>
      <c r="E64" s="207"/>
      <c r="F64" s="207"/>
      <c r="G64" s="207"/>
      <c r="H64" s="207"/>
      <c r="I64" s="137"/>
    </row>
    <row r="65" spans="1:9" ht="15">
      <c r="A65" s="137"/>
      <c r="B65" s="137"/>
      <c r="C65" s="137"/>
      <c r="D65" s="137"/>
      <c r="E65" s="207"/>
      <c r="F65" s="207"/>
      <c r="G65" s="207"/>
      <c r="H65" s="207"/>
      <c r="I65" s="137"/>
    </row>
    <row r="66" spans="5:8" ht="15">
      <c r="E66" s="23"/>
      <c r="F66" s="23"/>
      <c r="G66" s="23"/>
      <c r="H66" s="23"/>
    </row>
    <row r="67" spans="5:8" ht="15">
      <c r="E67" s="23"/>
      <c r="F67" s="23"/>
      <c r="G67" s="23"/>
      <c r="H67" s="23"/>
    </row>
    <row r="68" spans="5:8" ht="15">
      <c r="E68" s="23"/>
      <c r="F68" s="23"/>
      <c r="G68" s="23"/>
      <c r="H68" s="23"/>
    </row>
    <row r="69" spans="5:8" ht="15">
      <c r="E69" s="23"/>
      <c r="F69" s="23"/>
      <c r="G69" s="23"/>
      <c r="H69" s="23"/>
    </row>
  </sheetData>
  <sheetProtection/>
  <printOptions horizontalCentered="1" verticalCentered="1"/>
  <pageMargins left="0" right="0" top="0.15748031496062992" bottom="0" header="0.15748031496062992" footer="0.1968503937007874"/>
  <pageSetup fitToHeight="1" fitToWidth="1" horizontalDpi="300" verticalDpi="3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2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2"/>
  <sheetViews>
    <sheetView zoomScalePageLayoutView="0" workbookViewId="0" topLeftCell="A1">
      <selection activeCell="M3" sqref="M3:M34"/>
    </sheetView>
  </sheetViews>
  <sheetFormatPr defaultColWidth="8.88671875" defaultRowHeight="15"/>
  <cols>
    <col min="1" max="1" width="3.5546875" style="0" customWidth="1"/>
    <col min="2" max="2" width="2.10546875" style="0" customWidth="1"/>
    <col min="3" max="3" width="15.99609375" style="0" customWidth="1"/>
    <col min="4" max="4" width="10.21484375" style="0" bestFit="1" customWidth="1"/>
    <col min="5" max="5" width="9.4453125" style="0" bestFit="1" customWidth="1"/>
    <col min="6" max="6" width="10.21484375" style="0" bestFit="1" customWidth="1"/>
    <col min="7" max="7" width="7.5546875" style="0" customWidth="1"/>
    <col min="8" max="8" width="9.4453125" style="0" bestFit="1" customWidth="1"/>
    <col min="9" max="9" width="10.21484375" style="0" bestFit="1" customWidth="1"/>
    <col min="10" max="10" width="7.88671875" style="0" customWidth="1"/>
  </cols>
  <sheetData>
    <row r="2" ht="20.25" customHeight="1">
      <c r="C2" s="152" t="s">
        <v>108</v>
      </c>
    </row>
    <row r="3" spans="3:10" ht="15">
      <c r="C3" s="150"/>
      <c r="D3" s="148" t="s">
        <v>93</v>
      </c>
      <c r="E3" s="148">
        <v>2016</v>
      </c>
      <c r="F3" s="148" t="s">
        <v>93</v>
      </c>
      <c r="G3" s="148">
        <v>2016</v>
      </c>
      <c r="H3" s="148">
        <v>2017</v>
      </c>
      <c r="I3" s="148" t="s">
        <v>93</v>
      </c>
      <c r="J3" s="148"/>
    </row>
    <row r="4" spans="3:10" ht="15">
      <c r="C4" s="151" t="s">
        <v>105</v>
      </c>
      <c r="D4" s="149">
        <v>2015</v>
      </c>
      <c r="E4" s="149" t="s">
        <v>94</v>
      </c>
      <c r="F4" s="149">
        <v>2016</v>
      </c>
      <c r="G4" s="149" t="s">
        <v>95</v>
      </c>
      <c r="H4" s="149" t="s">
        <v>96</v>
      </c>
      <c r="I4" s="149">
        <v>2017</v>
      </c>
      <c r="J4" s="149" t="s">
        <v>95</v>
      </c>
    </row>
    <row r="5" spans="2:11" ht="24" customHeight="1">
      <c r="B5" s="144">
        <v>1</v>
      </c>
      <c r="C5" s="156" t="s">
        <v>98</v>
      </c>
      <c r="D5" s="153">
        <v>460309</v>
      </c>
      <c r="E5" s="153">
        <f>+F5-D5</f>
        <v>50891</v>
      </c>
      <c r="F5" s="153">
        <v>511200</v>
      </c>
      <c r="G5" s="161">
        <f>+(F5-D5)/D5</f>
        <v>0.1105583423309125</v>
      </c>
      <c r="H5" s="158">
        <f>+I5-F5</f>
        <v>37608</v>
      </c>
      <c r="I5" s="158">
        <v>548808</v>
      </c>
      <c r="J5" s="163">
        <f>+H5/F5</f>
        <v>0.07356807511737089</v>
      </c>
      <c r="K5" s="144"/>
    </row>
    <row r="6" spans="2:11" ht="15">
      <c r="B6" s="144"/>
      <c r="C6" s="157"/>
      <c r="D6" s="154"/>
      <c r="E6" s="154"/>
      <c r="F6" s="154"/>
      <c r="G6" s="162"/>
      <c r="H6" s="159"/>
      <c r="I6" s="159"/>
      <c r="J6" s="162"/>
      <c r="K6" s="144"/>
    </row>
    <row r="7" spans="2:12" ht="15">
      <c r="B7" s="144">
        <v>2</v>
      </c>
      <c r="C7" s="157" t="s">
        <v>97</v>
      </c>
      <c r="D7" s="154">
        <f>+D5</f>
        <v>460309</v>
      </c>
      <c r="E7" s="153">
        <f>+F7-D7</f>
        <v>43691</v>
      </c>
      <c r="F7" s="154">
        <v>504000</v>
      </c>
      <c r="G7" s="165">
        <f>+E7/D7</f>
        <v>0.09491667553751937</v>
      </c>
      <c r="H7" s="159">
        <f>+I7-F7</f>
        <v>49054</v>
      </c>
      <c r="I7" s="159">
        <v>553054</v>
      </c>
      <c r="J7" s="165">
        <f>+H7/F7</f>
        <v>0.09732936507936508</v>
      </c>
      <c r="K7" s="144"/>
      <c r="L7" s="147"/>
    </row>
    <row r="8" spans="3:11" ht="15">
      <c r="C8" s="155"/>
      <c r="D8" s="155"/>
      <c r="E8" s="155"/>
      <c r="F8" s="155"/>
      <c r="G8" s="155"/>
      <c r="H8" s="160"/>
      <c r="I8" s="155"/>
      <c r="J8" s="164"/>
      <c r="K8" s="144"/>
    </row>
    <row r="9" spans="3:11" ht="15">
      <c r="C9" s="144"/>
      <c r="D9" s="144"/>
      <c r="E9" s="144"/>
      <c r="F9" s="144"/>
      <c r="G9" s="146"/>
      <c r="H9" s="146"/>
      <c r="I9" s="145"/>
      <c r="J9" s="144"/>
      <c r="K9" s="144"/>
    </row>
    <row r="10" spans="2:11" ht="18" customHeight="1">
      <c r="B10" s="144" t="s">
        <v>101</v>
      </c>
      <c r="C10" s="144" t="s">
        <v>99</v>
      </c>
      <c r="D10" s="144"/>
      <c r="E10" s="144"/>
      <c r="F10" s="144"/>
      <c r="G10" s="146"/>
      <c r="H10" s="146"/>
      <c r="I10" s="146"/>
      <c r="J10" s="144"/>
      <c r="K10" s="144"/>
    </row>
    <row r="11" spans="2:11" ht="18" customHeight="1">
      <c r="B11" s="144" t="s">
        <v>102</v>
      </c>
      <c r="C11" s="144" t="s">
        <v>106</v>
      </c>
      <c r="D11" s="144"/>
      <c r="E11" s="144"/>
      <c r="F11" s="144"/>
      <c r="G11" s="146"/>
      <c r="H11" s="146"/>
      <c r="I11" s="146"/>
      <c r="J11" s="144"/>
      <c r="K11" s="144"/>
    </row>
    <row r="12" spans="2:11" ht="18" customHeight="1">
      <c r="B12" s="144" t="s">
        <v>103</v>
      </c>
      <c r="C12" s="144" t="s">
        <v>100</v>
      </c>
      <c r="D12" s="144"/>
      <c r="E12" s="144"/>
      <c r="F12" s="144"/>
      <c r="G12" s="146"/>
      <c r="H12" s="146"/>
      <c r="I12" s="146"/>
      <c r="J12" s="144"/>
      <c r="K12" s="144"/>
    </row>
    <row r="13" spans="2:11" ht="18" customHeight="1">
      <c r="B13" s="144" t="s">
        <v>104</v>
      </c>
      <c r="C13" s="144" t="s">
        <v>107</v>
      </c>
      <c r="D13" s="144"/>
      <c r="E13" s="144"/>
      <c r="F13" s="144"/>
      <c r="G13" s="146"/>
      <c r="H13" s="146"/>
      <c r="I13" s="146"/>
      <c r="J13" s="144"/>
      <c r="K13" s="144"/>
    </row>
    <row r="14" spans="7:9" ht="15">
      <c r="G14" s="1"/>
      <c r="H14" s="1"/>
      <c r="I14" s="1"/>
    </row>
    <row r="16" ht="15">
      <c r="C16" s="152" t="s">
        <v>109</v>
      </c>
    </row>
    <row r="17" spans="3:10" ht="15">
      <c r="C17" s="150"/>
      <c r="D17" s="148" t="s">
        <v>93</v>
      </c>
      <c r="E17" s="148">
        <v>2016</v>
      </c>
      <c r="F17" s="148" t="s">
        <v>93</v>
      </c>
      <c r="G17" s="148">
        <v>2016</v>
      </c>
      <c r="H17" s="148">
        <v>2017</v>
      </c>
      <c r="I17" s="148" t="s">
        <v>93</v>
      </c>
      <c r="J17" s="148"/>
    </row>
    <row r="18" spans="3:10" ht="15">
      <c r="C18" s="151" t="s">
        <v>105</v>
      </c>
      <c r="D18" s="149">
        <v>2015</v>
      </c>
      <c r="E18" s="149" t="s">
        <v>94</v>
      </c>
      <c r="F18" s="149">
        <v>2016</v>
      </c>
      <c r="G18" s="149" t="s">
        <v>95</v>
      </c>
      <c r="H18" s="149" t="s">
        <v>96</v>
      </c>
      <c r="I18" s="149">
        <v>2017</v>
      </c>
      <c r="J18" s="149" t="s">
        <v>95</v>
      </c>
    </row>
    <row r="19" spans="3:10" ht="15">
      <c r="C19" s="156" t="s">
        <v>98</v>
      </c>
      <c r="D19" s="153">
        <v>430849</v>
      </c>
      <c r="E19" s="153">
        <f>+F19-D19</f>
        <v>51433</v>
      </c>
      <c r="F19" s="153">
        <v>482282</v>
      </c>
      <c r="G19" s="161">
        <f>+(F19-D19)/D19</f>
        <v>0.11937592985013311</v>
      </c>
      <c r="H19" s="158">
        <f>+I19-F19</f>
        <v>35377</v>
      </c>
      <c r="I19" s="158">
        <v>517659</v>
      </c>
      <c r="J19" s="163">
        <f>+H19/F19</f>
        <v>0.07335334928527293</v>
      </c>
    </row>
    <row r="20" spans="3:10" ht="15">
      <c r="C20" s="157"/>
      <c r="D20" s="154"/>
      <c r="E20" s="154"/>
      <c r="F20" s="154"/>
      <c r="G20" s="162"/>
      <c r="H20" s="159"/>
      <c r="I20" s="159"/>
      <c r="J20" s="162"/>
    </row>
    <row r="21" spans="3:10" ht="15">
      <c r="C21" s="157" t="s">
        <v>97</v>
      </c>
      <c r="D21" s="154">
        <f>+D19</f>
        <v>430849</v>
      </c>
      <c r="E21" s="154">
        <f>+F21-D21</f>
        <v>41151</v>
      </c>
      <c r="F21" s="154">
        <v>472000</v>
      </c>
      <c r="G21" s="166">
        <f>+E21/D21</f>
        <v>0.09551142047445857</v>
      </c>
      <c r="H21" s="159">
        <f>+I21-F21</f>
        <v>45659</v>
      </c>
      <c r="I21" s="159">
        <v>517659</v>
      </c>
      <c r="J21" s="165">
        <f>+H21/F21</f>
        <v>0.09673516949152543</v>
      </c>
    </row>
    <row r="22" spans="3:10" ht="15">
      <c r="C22" s="155"/>
      <c r="D22" s="155"/>
      <c r="E22" s="155"/>
      <c r="F22" s="155"/>
      <c r="G22" s="155"/>
      <c r="H22" s="160"/>
      <c r="I22" s="155"/>
      <c r="J22" s="16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2015-08-28T08:40:29Z</cp:lastPrinted>
  <dcterms:created xsi:type="dcterms:W3CDTF">2003-05-30T19:26:07Z</dcterms:created>
  <dcterms:modified xsi:type="dcterms:W3CDTF">2015-10-23T11:17:34Z</dcterms:modified>
  <cp:category/>
  <cp:version/>
  <cp:contentType/>
  <cp:contentStatus/>
</cp:coreProperties>
</file>