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555" windowHeight="6465" activeTab="1"/>
  </bookViews>
  <sheets>
    <sheet name="Budget" sheetId="1" r:id="rId1"/>
    <sheet name="Summary" sheetId="2" r:id="rId2"/>
    <sheet name="Tab1" sheetId="3" r:id="rId3"/>
  </sheets>
  <definedNames/>
  <calcPr calcMode="manual" fullCalcOnLoad="1"/>
</workbook>
</file>

<file path=xl/comments1.xml><?xml version="1.0" encoding="utf-8"?>
<comments xmlns="http://schemas.openxmlformats.org/spreadsheetml/2006/main">
  <authors>
    <author>plugins</author>
  </authors>
  <commentList>
    <comment ref="I9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Refer actual salary workings for 2013</t>
        </r>
      </text>
    </comment>
    <comment ref="O9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Refer actual salary workings for 2013</t>
        </r>
      </text>
    </comment>
    <comment ref="I11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pastors and pensioners as per 2013
 salary workings
</t>
        </r>
      </text>
    </comment>
    <comment ref="O11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pastors and pensioners as per 2013
 salary workings
</t>
        </r>
      </text>
    </comment>
    <comment ref="I12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pastors and pensioners as per 2013
 salary workings
</t>
        </r>
      </text>
    </comment>
    <comment ref="O12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pastors and pensioners as per 2013
 salary workings
</t>
        </r>
      </text>
    </comment>
    <comment ref="I18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Refer actual salary workings for 2013</t>
        </r>
      </text>
    </comment>
    <comment ref="O18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Refer actual salary workings for 2013</t>
        </r>
      </text>
    </comment>
    <comment ref="AB9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Refer actual salary workings for 2013</t>
        </r>
      </text>
    </comment>
    <comment ref="AB11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pastors and pensioners as per 2013
 salary workings
</t>
        </r>
      </text>
    </comment>
    <comment ref="AB12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pastors and pensioners as per 2013
 salary workings
</t>
        </r>
      </text>
    </comment>
  </commentList>
</comments>
</file>

<file path=xl/comments3.xml><?xml version="1.0" encoding="utf-8"?>
<comments xmlns="http://schemas.openxmlformats.org/spreadsheetml/2006/main">
  <authors>
    <author>plugins</author>
  </authors>
  <commentList>
    <comment ref="D5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Refer actual salary workings for 2013</t>
        </r>
      </text>
    </comment>
    <comment ref="I5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Refer actual salary workings for 2013</t>
        </r>
      </text>
    </comment>
    <comment ref="D7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pastors and pensioners as per 2013
 salary workings
</t>
        </r>
      </text>
    </comment>
    <comment ref="I7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pastors and pensioners as per 2013
 salary workings
</t>
        </r>
      </text>
    </comment>
    <comment ref="D8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pastors and pensioners as per 2013
 salary workings
</t>
        </r>
      </text>
    </comment>
    <comment ref="I8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pastors and pensioners as per 2013
 salary workings
</t>
        </r>
      </text>
    </comment>
    <comment ref="D15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Refer actual salary workings for 2013</t>
        </r>
      </text>
    </comment>
    <comment ref="I15" authorId="0">
      <text>
        <r>
          <rPr>
            <b/>
            <sz val="8"/>
            <rFont val="Tahoma"/>
            <family val="2"/>
          </rPr>
          <t>plugins:</t>
        </r>
        <r>
          <rPr>
            <sz val="8"/>
            <rFont val="Tahoma"/>
            <family val="2"/>
          </rPr>
          <t xml:space="preserve">
Refer actual salary workings for 2013</t>
        </r>
      </text>
    </comment>
  </commentList>
</comments>
</file>

<file path=xl/sharedStrings.xml><?xml version="1.0" encoding="utf-8"?>
<sst xmlns="http://schemas.openxmlformats.org/spreadsheetml/2006/main" count="174" uniqueCount="108">
  <si>
    <t>SCHEDULE 1</t>
  </si>
  <si>
    <t>BUDGET</t>
  </si>
  <si>
    <t>EXPENSES</t>
  </si>
  <si>
    <t>INCOME</t>
  </si>
  <si>
    <t>PERSONNEL  COSTS</t>
  </si>
  <si>
    <t>CONTRIBUTIONS - CONGREGATIONS</t>
  </si>
  <si>
    <t xml:space="preserve">  Salaries - Pastors &amp; Bishop+PF</t>
  </si>
  <si>
    <t xml:space="preserve">   - Cost of Pastors </t>
  </si>
  <si>
    <t xml:space="preserve">  Salaries - Pastors spouse allowances</t>
  </si>
  <si>
    <t xml:space="preserve">  - Solidarity</t>
  </si>
  <si>
    <t xml:space="preserve">  Medical Aid contributions</t>
  </si>
  <si>
    <t xml:space="preserve"> - Less Solidarity subsidies</t>
  </si>
  <si>
    <t xml:space="preserve">  Pension Fund Contributions</t>
  </si>
  <si>
    <t xml:space="preserve">  Group Personal Insurance</t>
  </si>
  <si>
    <t xml:space="preserve">  Sundries</t>
  </si>
  <si>
    <t>SUBSIDIES FROM EKD</t>
  </si>
  <si>
    <t xml:space="preserve">  Work Permit</t>
  </si>
  <si>
    <t>SUNDRIES</t>
  </si>
  <si>
    <t xml:space="preserve">  Interest received</t>
  </si>
  <si>
    <t xml:space="preserve">  Personnel costs office staff</t>
  </si>
  <si>
    <t xml:space="preserve">  LESS : Transfer to Trust Funds</t>
  </si>
  <si>
    <t>Profit on Foreign Exchange</t>
  </si>
  <si>
    <t>TRAVELLING  and  ACCOMMODATION</t>
  </si>
  <si>
    <t>Sundry Income</t>
  </si>
  <si>
    <t xml:space="preserve">  General</t>
  </si>
  <si>
    <t>Rental received</t>
  </si>
  <si>
    <t>Overseas Furlough</t>
  </si>
  <si>
    <t xml:space="preserve">  Synods</t>
  </si>
  <si>
    <t>TOTAL  INCOME</t>
  </si>
  <si>
    <t xml:space="preserve">  Motor vehicle expenses</t>
  </si>
  <si>
    <t xml:space="preserve">      Prov. for replace. of motor vehicle</t>
  </si>
  <si>
    <t>NET (PROFIT) / LOSS FOR THE YEAR</t>
  </si>
  <si>
    <t xml:space="preserve">      Running expenses</t>
  </si>
  <si>
    <t xml:space="preserve">  Meeting &amp; accom. Expenses(CC+Genl)</t>
  </si>
  <si>
    <t>BALANCE  TO  TOTAL  EXPENSES</t>
  </si>
  <si>
    <t>OFFICE</t>
  </si>
  <si>
    <t xml:space="preserve">  Printing &amp; Stationery</t>
  </si>
  <si>
    <t xml:space="preserve">  Postage &amp; Telephone</t>
  </si>
  <si>
    <t xml:space="preserve">  Purchases , Repairs &amp; maintenance</t>
  </si>
  <si>
    <t xml:space="preserve">  Audit fees</t>
  </si>
  <si>
    <t xml:space="preserve">  Bank Charges</t>
  </si>
  <si>
    <t xml:space="preserve">  Rental &amp; rates</t>
  </si>
  <si>
    <t>MEMBERSHIP  FEES</t>
  </si>
  <si>
    <t xml:space="preserve">  U.E.L.C.S.A.</t>
  </si>
  <si>
    <t xml:space="preserve">  L.W.F.</t>
  </si>
  <si>
    <t xml:space="preserve">  L.U.C.S.A.</t>
  </si>
  <si>
    <t xml:space="preserve">  S.A.C.C.</t>
  </si>
  <si>
    <t>SUNDRY  EXPENSES</t>
  </si>
  <si>
    <t xml:space="preserve">  Insurance</t>
  </si>
  <si>
    <t xml:space="preserve">  Transfer costs</t>
  </si>
  <si>
    <t xml:space="preserve">  Repairs &amp; Maintenance</t>
  </si>
  <si>
    <t xml:space="preserve">      Land &amp; Buildings</t>
  </si>
  <si>
    <t xml:space="preserve">  Unforseen expenses</t>
  </si>
  <si>
    <t>CIRCUIT  EXPENSES</t>
  </si>
  <si>
    <t>TOTAL  EXPENSES</t>
  </si>
  <si>
    <t xml:space="preserve">  Total Cost of Employment</t>
  </si>
  <si>
    <t xml:space="preserve">  Communication</t>
  </si>
  <si>
    <t xml:space="preserve"> </t>
  </si>
  <si>
    <t>new los/(Profit)</t>
  </si>
  <si>
    <t>no of posts</t>
  </si>
  <si>
    <t>Extra cost per post</t>
  </si>
  <si>
    <t>Extra cost/post/month</t>
  </si>
  <si>
    <t>Existing cost/Post (NT)</t>
  </si>
  <si>
    <t>additional cost</t>
  </si>
  <si>
    <t>New cost (NT)</t>
  </si>
  <si>
    <t>Cost (Cape)</t>
  </si>
  <si>
    <t>Diff</t>
  </si>
  <si>
    <t>NT - Cape</t>
  </si>
  <si>
    <t>additional required(-EKD)</t>
  </si>
  <si>
    <t>EKD</t>
  </si>
  <si>
    <t>PF</t>
  </si>
  <si>
    <t>Salaries incl. office staff&amp; pensioners</t>
  </si>
  <si>
    <t>Travelling, Accom. &amp; Synods</t>
  </si>
  <si>
    <t>Office</t>
  </si>
  <si>
    <t>Membership Fees</t>
  </si>
  <si>
    <t>Sundry Expenses</t>
  </si>
  <si>
    <t>Circuit Expenses</t>
  </si>
  <si>
    <t>Solidarity Subsidies</t>
  </si>
  <si>
    <t>Mission</t>
  </si>
  <si>
    <t>Theological Education</t>
  </si>
  <si>
    <t>Church Music</t>
  </si>
  <si>
    <t>Other, (Old Age H, DSH,Youth)</t>
  </si>
  <si>
    <t>Youth Fund exp</t>
  </si>
  <si>
    <t>KZN Youth Hub exp</t>
  </si>
  <si>
    <t>Offerings - Mission</t>
  </si>
  <si>
    <t>Offerings - Theological education</t>
  </si>
  <si>
    <t>Offerings - Church Music</t>
  </si>
  <si>
    <t>Offerings Other,(Old Age H, DSH)</t>
  </si>
  <si>
    <t>Offerings Youth Funds</t>
  </si>
  <si>
    <t>Youth Hub Fund(KZN) contr.</t>
  </si>
  <si>
    <t>Interest + Dividends</t>
  </si>
  <si>
    <t>Solidarity</t>
  </si>
  <si>
    <t>Sundry Income (Rental+Sundry)</t>
  </si>
  <si>
    <t>EKD Subsidies</t>
  </si>
  <si>
    <t>Capital Growth(fair value adjustments)</t>
  </si>
  <si>
    <t xml:space="preserve">  Meeting &amp; accom. Expenses(CC)</t>
  </si>
  <si>
    <t>PROJECTS</t>
  </si>
  <si>
    <t>Specific Reserve expenses</t>
  </si>
  <si>
    <t>Other</t>
  </si>
  <si>
    <t>Offerings Seniors work</t>
  </si>
  <si>
    <t>SURPLUS/ (DEFICIT) FOR THE YEAR</t>
  </si>
  <si>
    <t xml:space="preserve">  U.E.L.C.S.A. </t>
  </si>
  <si>
    <t>Transfer Interest to Projects (Reserves)</t>
  </si>
  <si>
    <t>E L C S A (N - T )   BUDGETS</t>
  </si>
  <si>
    <t>Total Comprehensive Surplus(deficit)</t>
  </si>
  <si>
    <t>SUMMARY</t>
  </si>
  <si>
    <t>PROJECT Offerings</t>
  </si>
  <si>
    <t>29.09.15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</si>
</sst>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%"/>
    <numFmt numFmtId="165" formatCode="#,##0_ ;[Red]\-#,##0\ "/>
    <numFmt numFmtId="166" formatCode="_ * #,##0.0_ ;_ * \-#,##0.0_ ;_ * &quot;-&quot;??_ ;_ @_ "/>
    <numFmt numFmtId="167" formatCode="_ * #,##0_ ;_ * \-#,##0_ ;_ * &quot;-&quot;??_ ;_ @_ "/>
    <numFmt numFmtId="168" formatCode="0.00000"/>
    <numFmt numFmtId="169" formatCode="0.0000"/>
    <numFmt numFmtId="170" formatCode="0.000"/>
    <numFmt numFmtId="171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9" fontId="2" fillId="0" borderId="0" xfId="62" applyFont="1" applyAlignment="1">
      <alignment/>
    </xf>
    <xf numFmtId="164" fontId="2" fillId="0" borderId="0" xfId="0" applyNumberFormat="1" applyFont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164" fontId="2" fillId="0" borderId="0" xfId="62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9" fontId="2" fillId="0" borderId="0" xfId="62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164" fontId="2" fillId="0" borderId="0" xfId="62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Fill="1" applyAlignment="1">
      <alignment horizontal="center"/>
    </xf>
    <xf numFmtId="0" fontId="4" fillId="0" borderId="14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7" xfId="0" applyNumberFormat="1" applyBorder="1" applyAlignment="1">
      <alignment/>
    </xf>
    <xf numFmtId="0" fontId="0" fillId="0" borderId="16" xfId="0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37" fontId="0" fillId="0" borderId="17" xfId="0" applyNumberFormat="1" applyFill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1" fillId="0" borderId="0" xfId="0" applyFont="1" applyAlignment="1">
      <alignment/>
    </xf>
    <xf numFmtId="0" fontId="0" fillId="0" borderId="12" xfId="0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left" indent="1"/>
    </xf>
    <xf numFmtId="43" fontId="0" fillId="0" borderId="12" xfId="42" applyFont="1" applyBorder="1" applyAlignment="1">
      <alignment horizontal="left" indent="1"/>
    </xf>
    <xf numFmtId="0" fontId="0" fillId="0" borderId="0" xfId="0" applyAlignment="1">
      <alignment horizontal="left" indent="1"/>
    </xf>
    <xf numFmtId="167" fontId="0" fillId="0" borderId="0" xfId="42" applyNumberFormat="1" applyFont="1" applyAlignment="1">
      <alignment horizontal="left" indent="1"/>
    </xf>
    <xf numFmtId="43" fontId="0" fillId="0" borderId="0" xfId="42" applyFont="1" applyAlignment="1">
      <alignment horizontal="left" indent="2"/>
    </xf>
    <xf numFmtId="43" fontId="0" fillId="0" borderId="0" xfId="42" applyFont="1" applyAlignment="1">
      <alignment horizontal="left"/>
    </xf>
    <xf numFmtId="43" fontId="0" fillId="0" borderId="0" xfId="42" applyFont="1" applyAlignment="1">
      <alignment horizontal="right" indent="1"/>
    </xf>
    <xf numFmtId="2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0" fontId="5" fillId="0" borderId="0" xfId="59" applyFont="1" applyBorder="1">
      <alignment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62" applyNumberFormat="1" applyFont="1" applyAlignment="1">
      <alignment/>
    </xf>
    <xf numFmtId="167" fontId="0" fillId="0" borderId="0" xfId="42" applyNumberFormat="1" applyFont="1" applyBorder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21" xfId="42" applyNumberFormat="1" applyFont="1" applyBorder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167" fontId="0" fillId="0" borderId="20" xfId="0" applyNumberFormat="1" applyBorder="1" applyAlignment="1">
      <alignment/>
    </xf>
    <xf numFmtId="1" fontId="51" fillId="0" borderId="0" xfId="0" applyNumberFormat="1" applyFont="1" applyAlignment="1">
      <alignment horizontal="center"/>
    </xf>
    <xf numFmtId="0" fontId="0" fillId="0" borderId="0" xfId="0" applyAlignment="1">
      <alignment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Alignment="1">
      <alignment/>
    </xf>
    <xf numFmtId="9" fontId="4" fillId="0" borderId="0" xfId="62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7" fillId="0" borderId="15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Border="1" applyAlignment="1">
      <alignment/>
    </xf>
    <xf numFmtId="0" fontId="0" fillId="0" borderId="13" xfId="0" applyBorder="1" applyAlignment="1">
      <alignment/>
    </xf>
    <xf numFmtId="9" fontId="4" fillId="0" borderId="0" xfId="62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7" fontId="0" fillId="0" borderId="10" xfId="42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left"/>
    </xf>
    <xf numFmtId="0" fontId="51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71" fontId="0" fillId="0" borderId="2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53" fillId="0" borderId="0" xfId="0" applyFont="1" applyFill="1" applyAlignment="1">
      <alignment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Border="1" applyAlignment="1">
      <alignment/>
    </xf>
    <xf numFmtId="167" fontId="0" fillId="0" borderId="12" xfId="42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37" fontId="0" fillId="0" borderId="17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4" fillId="34" borderId="0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167" fontId="0" fillId="0" borderId="0" xfId="42" applyNumberFormat="1" applyFont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Fill="1" applyAlignment="1">
      <alignment/>
    </xf>
    <xf numFmtId="167" fontId="0" fillId="0" borderId="20" xfId="0" applyNumberFormat="1" applyBorder="1" applyAlignment="1">
      <alignment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7" fontId="53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164" fontId="2" fillId="0" borderId="0" xfId="62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167" fontId="2" fillId="0" borderId="0" xfId="42" applyNumberFormat="1" applyFont="1" applyFill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37" fontId="0" fillId="0" borderId="13" xfId="0" applyNumberFormat="1" applyFill="1" applyBorder="1" applyAlignment="1">
      <alignment/>
    </xf>
    <xf numFmtId="37" fontId="0" fillId="0" borderId="15" xfId="0" applyNumberFormat="1" applyFill="1" applyBorder="1" applyAlignment="1">
      <alignment/>
    </xf>
    <xf numFmtId="0" fontId="0" fillId="35" borderId="0" xfId="0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51" fillId="0" borderId="19" xfId="0" applyNumberFormat="1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62" applyNumberFormat="1" applyFont="1" applyFill="1" applyAlignment="1">
      <alignment/>
    </xf>
    <xf numFmtId="164" fontId="57" fillId="0" borderId="0" xfId="0" applyNumberFormat="1" applyFont="1" applyFill="1" applyBorder="1" applyAlignment="1">
      <alignment/>
    </xf>
    <xf numFmtId="167" fontId="0" fillId="0" borderId="12" xfId="42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18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6"/>
  <sheetViews>
    <sheetView zoomScale="115" zoomScaleNormal="115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" sqref="K1"/>
    </sheetView>
  </sheetViews>
  <sheetFormatPr defaultColWidth="9.140625" defaultRowHeight="15"/>
  <cols>
    <col min="1" max="1" width="3.57421875" style="213" customWidth="1"/>
    <col min="2" max="2" width="41.57421875" style="0" customWidth="1"/>
    <col min="3" max="3" width="2.7109375" style="122" customWidth="1"/>
    <col min="4" max="4" width="1.1484375" style="0" customWidth="1"/>
    <col min="5" max="5" width="13.140625" style="0" customWidth="1"/>
    <col min="6" max="6" width="1.1484375" style="0" customWidth="1"/>
    <col min="7" max="7" width="6.7109375" style="0" customWidth="1"/>
    <col min="8" max="8" width="1.1484375" style="0" customWidth="1"/>
    <col min="9" max="9" width="12.7109375" style="0" customWidth="1"/>
    <col min="10" max="10" width="1.1484375" style="0" customWidth="1"/>
    <col min="11" max="11" width="0.85546875" style="0" customWidth="1"/>
    <col min="12" max="12" width="5.8515625" style="213" customWidth="1"/>
    <col min="13" max="13" width="0.42578125" style="2" customWidth="1"/>
    <col min="14" max="14" width="1.7109375" style="0" customWidth="1"/>
    <col min="15" max="15" width="12.421875" style="0" customWidth="1"/>
    <col min="16" max="17" width="1.1484375" style="0" customWidth="1"/>
    <col min="18" max="18" width="6.8515625" style="0" hidden="1" customWidth="1"/>
    <col min="19" max="19" width="3.28125" style="0" customWidth="1"/>
    <col min="20" max="20" width="1.8515625" style="0" customWidth="1"/>
    <col min="21" max="21" width="12.00390625" style="0" customWidth="1"/>
    <col min="22" max="22" width="3.00390625" style="0" customWidth="1"/>
    <col min="23" max="23" width="2.28125" style="0" customWidth="1"/>
    <col min="24" max="24" width="2.00390625" style="0" customWidth="1"/>
    <col min="25" max="25" width="10.57421875" style="0" bestFit="1" customWidth="1"/>
    <col min="26" max="26" width="1.7109375" style="0" customWidth="1"/>
    <col min="27" max="27" width="2.28125" style="0" customWidth="1"/>
    <col min="28" max="28" width="11.8515625" style="0" customWidth="1"/>
  </cols>
  <sheetData>
    <row r="1" ht="15">
      <c r="I1" s="3"/>
    </row>
    <row r="2" spans="2:21" ht="18">
      <c r="B2" s="271" t="s">
        <v>103</v>
      </c>
      <c r="C2" s="272"/>
      <c r="D2" s="272"/>
      <c r="E2" s="272"/>
      <c r="F2" s="4"/>
      <c r="G2" s="4"/>
      <c r="I2" s="5"/>
      <c r="J2" s="1"/>
      <c r="O2" s="101" t="s">
        <v>0</v>
      </c>
      <c r="R2" s="7"/>
      <c r="U2" s="75"/>
    </row>
    <row r="3" spans="2:21" ht="15.75">
      <c r="B3" s="87"/>
      <c r="C3" s="87"/>
      <c r="D3" s="87"/>
      <c r="E3" s="87"/>
      <c r="F3" s="87"/>
      <c r="G3" s="87"/>
      <c r="I3" s="27"/>
      <c r="J3" s="1"/>
      <c r="O3" s="235" t="s">
        <v>107</v>
      </c>
      <c r="T3" s="1"/>
      <c r="U3" s="1"/>
    </row>
    <row r="4" spans="2:7" ht="15.75">
      <c r="B4" s="9" t="s">
        <v>57</v>
      </c>
      <c r="C4" s="9"/>
      <c r="D4" s="9"/>
      <c r="E4" s="9"/>
      <c r="F4" s="9"/>
      <c r="G4" s="9"/>
    </row>
    <row r="5" spans="3:15" ht="15">
      <c r="C5" s="10"/>
      <c r="E5" s="10" t="s">
        <v>1</v>
      </c>
      <c r="H5" s="5"/>
      <c r="I5" s="10" t="s">
        <v>1</v>
      </c>
      <c r="O5" s="10" t="s">
        <v>1</v>
      </c>
    </row>
    <row r="6" spans="2:15" ht="15">
      <c r="B6" s="12" t="s">
        <v>2</v>
      </c>
      <c r="C6" s="13"/>
      <c r="D6" s="12"/>
      <c r="E6" s="13">
        <v>2015</v>
      </c>
      <c r="F6" s="12"/>
      <c r="G6" s="12"/>
      <c r="H6" s="5"/>
      <c r="I6" s="13">
        <v>2016</v>
      </c>
      <c r="O6" s="13">
        <v>2017</v>
      </c>
    </row>
    <row r="7" spans="2:15" ht="15">
      <c r="B7" s="86"/>
      <c r="C7" s="123"/>
      <c r="D7" s="86"/>
      <c r="E7" s="88"/>
      <c r="F7" s="86"/>
      <c r="G7" s="86"/>
      <c r="H7" s="1"/>
      <c r="I7" s="267"/>
      <c r="O7" s="215"/>
    </row>
    <row r="8" spans="2:21" ht="15">
      <c r="B8" s="12" t="s">
        <v>4</v>
      </c>
      <c r="C8" s="126"/>
      <c r="D8" s="70"/>
      <c r="E8" s="126">
        <f>E16+E18</f>
        <v>-14308841.2</v>
      </c>
      <c r="F8" s="12"/>
      <c r="G8" s="12"/>
      <c r="H8" s="1"/>
      <c r="I8" s="217">
        <f>+I16+I18</f>
        <v>-15439665</v>
      </c>
      <c r="J8" s="214"/>
      <c r="K8" s="214"/>
      <c r="L8" s="268"/>
      <c r="M8" s="28">
        <f>+(O8-I8)/I8</f>
        <v>0.07465909396350247</v>
      </c>
      <c r="N8" s="5"/>
      <c r="O8" s="222">
        <f>+O16+O18</f>
        <v>-16592376.4</v>
      </c>
      <c r="U8" s="225"/>
    </row>
    <row r="9" spans="2:28" ht="15">
      <c r="B9" t="s">
        <v>6</v>
      </c>
      <c r="C9" s="126"/>
      <c r="D9" s="125"/>
      <c r="E9" s="142">
        <v>-10137975</v>
      </c>
      <c r="F9" s="132"/>
      <c r="G9" s="7"/>
      <c r="H9" s="22"/>
      <c r="I9" s="220">
        <f>-10460078-128700-99264-312142</f>
        <v>-11000184</v>
      </c>
      <c r="J9" s="221"/>
      <c r="K9" s="222"/>
      <c r="L9" s="268"/>
      <c r="M9" s="249">
        <f aca="true" t="shared" si="0" ref="M9:M15">+(O9-I9)/I9</f>
        <v>0.07138889676754498</v>
      </c>
      <c r="N9" s="219"/>
      <c r="O9" s="220">
        <f>-11215878-125775-106709-337113</f>
        <v>-11785475</v>
      </c>
      <c r="P9" s="25"/>
      <c r="Q9" s="8"/>
      <c r="AB9" s="220"/>
    </row>
    <row r="10" spans="2:28" ht="15">
      <c r="B10" s="30" t="s">
        <v>8</v>
      </c>
      <c r="C10" s="126"/>
      <c r="D10" s="127"/>
      <c r="E10" s="143">
        <v>-162604</v>
      </c>
      <c r="F10" s="118"/>
      <c r="G10" s="7"/>
      <c r="H10" s="31"/>
      <c r="I10" s="222">
        <v>-161200</v>
      </c>
      <c r="J10" s="224"/>
      <c r="K10" s="222"/>
      <c r="L10" s="268"/>
      <c r="M10" s="249">
        <f t="shared" si="0"/>
        <v>0</v>
      </c>
      <c r="N10" s="223"/>
      <c r="O10" s="222">
        <v>-161200</v>
      </c>
      <c r="P10" s="33"/>
      <c r="Q10" s="8"/>
      <c r="AB10" s="222"/>
    </row>
    <row r="11" spans="2:28" ht="15">
      <c r="B11" s="30" t="s">
        <v>10</v>
      </c>
      <c r="C11" s="35"/>
      <c r="D11" s="127"/>
      <c r="E11" s="35">
        <v>-1686744.08</v>
      </c>
      <c r="F11" s="118"/>
      <c r="G11" s="7"/>
      <c r="H11" s="31"/>
      <c r="I11" s="222">
        <f>-1224036-581315</f>
        <v>-1805351</v>
      </c>
      <c r="J11" s="224"/>
      <c r="K11" s="222"/>
      <c r="L11" s="268"/>
      <c r="M11" s="249">
        <f t="shared" si="0"/>
        <v>0.09999994460910926</v>
      </c>
      <c r="N11" s="223"/>
      <c r="O11" s="222">
        <f>-1346440-639446</f>
        <v>-1985886</v>
      </c>
      <c r="P11" s="33"/>
      <c r="Q11" s="8"/>
      <c r="AB11" s="222"/>
    </row>
    <row r="12" spans="2:28" ht="15">
      <c r="B12" s="30" t="s">
        <v>12</v>
      </c>
      <c r="C12" s="126"/>
      <c r="D12" s="127"/>
      <c r="E12" s="143">
        <v>-1328050.68</v>
      </c>
      <c r="F12" s="118"/>
      <c r="G12" s="7"/>
      <c r="H12" s="31"/>
      <c r="I12" s="35">
        <v>-1443491</v>
      </c>
      <c r="J12" s="224"/>
      <c r="K12" s="222"/>
      <c r="L12" s="268"/>
      <c r="M12" s="249">
        <f t="shared" si="0"/>
        <v>0.07500012123386983</v>
      </c>
      <c r="N12" s="223"/>
      <c r="O12" s="222">
        <f>-1551753</f>
        <v>-1551753</v>
      </c>
      <c r="P12" s="33"/>
      <c r="Q12" s="8"/>
      <c r="AB12" s="35"/>
    </row>
    <row r="13" spans="2:28" ht="15">
      <c r="B13" s="30" t="s">
        <v>13</v>
      </c>
      <c r="C13" s="126"/>
      <c r="D13" s="127"/>
      <c r="E13" s="143">
        <v>-298627.44</v>
      </c>
      <c r="F13" s="118"/>
      <c r="G13" s="7"/>
      <c r="H13" s="38"/>
      <c r="I13" s="222">
        <v>-328490</v>
      </c>
      <c r="J13" s="224"/>
      <c r="K13" s="222"/>
      <c r="L13" s="268"/>
      <c r="M13" s="249">
        <f t="shared" si="0"/>
        <v>0.0800006088465403</v>
      </c>
      <c r="N13" s="38"/>
      <c r="O13" s="222">
        <v>-354769.4</v>
      </c>
      <c r="P13" s="33"/>
      <c r="Q13" s="8"/>
      <c r="AB13" s="222"/>
    </row>
    <row r="14" spans="2:28" ht="15">
      <c r="B14" s="30" t="s">
        <v>14</v>
      </c>
      <c r="C14" s="126"/>
      <c r="D14" s="127"/>
      <c r="E14" s="143">
        <v>-24486</v>
      </c>
      <c r="F14" s="118"/>
      <c r="G14" s="7"/>
      <c r="H14" s="31"/>
      <c r="I14" s="222">
        <v>-26000</v>
      </c>
      <c r="J14" s="224"/>
      <c r="K14" s="222"/>
      <c r="L14" s="268"/>
      <c r="M14" s="249">
        <f t="shared" si="0"/>
        <v>0.07</v>
      </c>
      <c r="N14" s="223"/>
      <c r="O14" s="222">
        <v>-27820</v>
      </c>
      <c r="P14" s="33"/>
      <c r="Q14" s="8"/>
      <c r="AB14" s="222"/>
    </row>
    <row r="15" spans="2:28" ht="15">
      <c r="B15" s="30" t="s">
        <v>16</v>
      </c>
      <c r="C15" s="126"/>
      <c r="D15" s="127"/>
      <c r="E15" s="143">
        <v>-18338</v>
      </c>
      <c r="F15" s="118"/>
      <c r="G15" s="7"/>
      <c r="H15" s="31"/>
      <c r="I15" s="217">
        <v>-19500</v>
      </c>
      <c r="J15" s="224"/>
      <c r="K15" s="222"/>
      <c r="L15" s="268"/>
      <c r="M15" s="249">
        <f t="shared" si="0"/>
        <v>0.07</v>
      </c>
      <c r="N15" s="223"/>
      <c r="O15" s="217">
        <v>-20865</v>
      </c>
      <c r="P15" s="33"/>
      <c r="Q15" s="8"/>
      <c r="AB15" s="217"/>
    </row>
    <row r="16" spans="2:28" ht="15">
      <c r="B16" s="30" t="s">
        <v>55</v>
      </c>
      <c r="C16" s="126"/>
      <c r="D16" s="127"/>
      <c r="E16" s="142">
        <v>-13656825.2</v>
      </c>
      <c r="F16" s="118"/>
      <c r="G16" s="12"/>
      <c r="H16" s="31"/>
      <c r="I16" s="222">
        <f>SUM(I9:I15)</f>
        <v>-14784216</v>
      </c>
      <c r="J16" s="224"/>
      <c r="K16" s="222"/>
      <c r="L16" s="268"/>
      <c r="M16" s="250"/>
      <c r="N16" s="223"/>
      <c r="O16" s="222">
        <f>SUM(O9:O15)</f>
        <v>-15887768.4</v>
      </c>
      <c r="P16" s="33"/>
      <c r="Q16" s="8"/>
      <c r="U16" s="225"/>
      <c r="AB16" s="222"/>
    </row>
    <row r="17" spans="2:17" ht="15">
      <c r="B17" s="30"/>
      <c r="C17" s="126"/>
      <c r="D17" s="127"/>
      <c r="E17" s="143"/>
      <c r="F17" s="118"/>
      <c r="G17" s="30"/>
      <c r="H17" s="31"/>
      <c r="I17" s="222"/>
      <c r="J17" s="224"/>
      <c r="K17" s="222"/>
      <c r="L17" s="222"/>
      <c r="M17" s="250"/>
      <c r="N17" s="223"/>
      <c r="O17" s="222"/>
      <c r="P17" s="33"/>
      <c r="Q17" s="8"/>
    </row>
    <row r="18" spans="2:17" ht="15">
      <c r="B18" s="30" t="s">
        <v>19</v>
      </c>
      <c r="C18" s="126"/>
      <c r="D18" s="128"/>
      <c r="E18" s="141">
        <v>-652016</v>
      </c>
      <c r="F18" s="119"/>
      <c r="G18" s="7"/>
      <c r="H18" s="227"/>
      <c r="I18" s="217">
        <v>-655449</v>
      </c>
      <c r="J18" s="217"/>
      <c r="K18" s="265"/>
      <c r="L18" s="268"/>
      <c r="M18" s="34">
        <f>+(O18-I18)/I18</f>
        <v>0.07500049584330741</v>
      </c>
      <c r="N18" s="227"/>
      <c r="O18" s="217">
        <v>-704608</v>
      </c>
      <c r="P18" s="264"/>
      <c r="Q18" s="266"/>
    </row>
    <row r="19" spans="3:17" ht="15">
      <c r="C19" s="126"/>
      <c r="D19" s="129"/>
      <c r="E19" s="126"/>
      <c r="H19" s="229"/>
      <c r="I19" s="222"/>
      <c r="J19" s="222"/>
      <c r="K19" s="222"/>
      <c r="L19" s="222"/>
      <c r="M19" s="245"/>
      <c r="N19" s="229"/>
      <c r="O19" s="222"/>
      <c r="P19" s="216"/>
      <c r="Q19" s="216"/>
    </row>
    <row r="20" spans="2:17" ht="15">
      <c r="B20" s="12" t="s">
        <v>22</v>
      </c>
      <c r="C20" s="139"/>
      <c r="D20" s="138"/>
      <c r="E20" s="139">
        <f>SUM(E21:E24)+E27</f>
        <v>-427286.1</v>
      </c>
      <c r="F20" s="138"/>
      <c r="G20" s="140"/>
      <c r="H20" s="1"/>
      <c r="I20" s="215">
        <f>+I21+I22+I23+I24+I27</f>
        <v>-455000</v>
      </c>
      <c r="J20" s="215"/>
      <c r="K20" s="215"/>
      <c r="L20" s="215"/>
      <c r="M20" s="249">
        <f aca="true" t="shared" si="1" ref="M20:M27">+(O20-I20)/I20</f>
        <v>0.23406593406593407</v>
      </c>
      <c r="N20" s="214"/>
      <c r="O20" s="215">
        <f>+O21+O22+O23+O24+O27</f>
        <v>-561500</v>
      </c>
      <c r="P20" s="41"/>
      <c r="Q20" s="41"/>
    </row>
    <row r="21" spans="2:17" ht="15">
      <c r="B21" t="s">
        <v>24</v>
      </c>
      <c r="C21" s="126"/>
      <c r="D21" s="148"/>
      <c r="E21" s="142">
        <v>-33000</v>
      </c>
      <c r="F21" s="149"/>
      <c r="G21" s="145"/>
      <c r="H21" s="22"/>
      <c r="I21" s="220">
        <v>-115000</v>
      </c>
      <c r="J21" s="221"/>
      <c r="K21" s="222"/>
      <c r="L21" s="222"/>
      <c r="M21" s="249">
        <f t="shared" si="1"/>
        <v>0.06956521739130435</v>
      </c>
      <c r="N21" s="219"/>
      <c r="O21" s="220">
        <v>-123000</v>
      </c>
      <c r="P21" s="25"/>
      <c r="Q21" s="8"/>
    </row>
    <row r="22" spans="2:17" ht="15">
      <c r="B22" t="s">
        <v>26</v>
      </c>
      <c r="C22" s="126"/>
      <c r="D22" s="150"/>
      <c r="E22" s="143">
        <v>-36040</v>
      </c>
      <c r="F22" s="145"/>
      <c r="G22" s="145"/>
      <c r="H22" s="31"/>
      <c r="I22" s="222">
        <v>-50000</v>
      </c>
      <c r="J22" s="224"/>
      <c r="K22" s="222"/>
      <c r="L22" s="222"/>
      <c r="M22" s="249">
        <f t="shared" si="1"/>
        <v>0.08</v>
      </c>
      <c r="N22" s="223"/>
      <c r="O22" s="222">
        <v>-54000</v>
      </c>
      <c r="P22" s="33"/>
      <c r="Q22" s="8"/>
    </row>
    <row r="23" spans="2:17" ht="15">
      <c r="B23" t="s">
        <v>27</v>
      </c>
      <c r="C23" s="126"/>
      <c r="D23" s="150"/>
      <c r="E23" s="143">
        <v>-30618.1</v>
      </c>
      <c r="F23" s="145"/>
      <c r="G23" s="145"/>
      <c r="H23" s="31"/>
      <c r="I23" s="222">
        <v>0</v>
      </c>
      <c r="J23" s="190"/>
      <c r="K23" s="189"/>
      <c r="L23" s="189"/>
      <c r="M23" s="249"/>
      <c r="N23" s="223"/>
      <c r="O23" s="222">
        <v>-70000</v>
      </c>
      <c r="P23" s="64"/>
      <c r="Q23" s="65"/>
    </row>
    <row r="24" spans="2:17" ht="15">
      <c r="B24" t="s">
        <v>29</v>
      </c>
      <c r="C24" s="126"/>
      <c r="D24" s="150"/>
      <c r="E24" s="143">
        <v>-162628</v>
      </c>
      <c r="F24" s="145"/>
      <c r="G24" s="145"/>
      <c r="H24" s="31"/>
      <c r="I24" s="222">
        <f>+I25+I26</f>
        <v>-115000</v>
      </c>
      <c r="J24" s="224"/>
      <c r="K24" s="222"/>
      <c r="L24" s="222"/>
      <c r="M24" s="249">
        <f t="shared" si="1"/>
        <v>0.1</v>
      </c>
      <c r="N24" s="223"/>
      <c r="O24" s="222">
        <f>+O25+O26</f>
        <v>-126500</v>
      </c>
      <c r="P24" s="33"/>
      <c r="Q24" s="8"/>
    </row>
    <row r="25" spans="2:17" ht="15">
      <c r="B25" s="91" t="s">
        <v>30</v>
      </c>
      <c r="C25" s="126"/>
      <c r="D25" s="150"/>
      <c r="E25" s="146">
        <v>-57028</v>
      </c>
      <c r="F25" s="145"/>
      <c r="G25" s="145"/>
      <c r="H25" s="31"/>
      <c r="I25" s="233">
        <v>0</v>
      </c>
      <c r="J25" s="224"/>
      <c r="K25" s="222"/>
      <c r="L25" s="222"/>
      <c r="M25" s="249"/>
      <c r="N25" s="223"/>
      <c r="O25" s="233">
        <v>0</v>
      </c>
      <c r="P25" s="33"/>
      <c r="Q25" s="8"/>
    </row>
    <row r="26" spans="2:17" ht="15">
      <c r="B26" t="s">
        <v>32</v>
      </c>
      <c r="C26" s="126"/>
      <c r="D26" s="150"/>
      <c r="E26" s="147">
        <v>-105600</v>
      </c>
      <c r="F26" s="145"/>
      <c r="G26" s="145"/>
      <c r="H26" s="31"/>
      <c r="I26" s="234">
        <v>-115000</v>
      </c>
      <c r="J26" s="224"/>
      <c r="K26" s="222"/>
      <c r="L26" s="222"/>
      <c r="M26" s="249">
        <f t="shared" si="1"/>
        <v>0.1</v>
      </c>
      <c r="N26" s="223"/>
      <c r="O26" s="234">
        <v>-126500</v>
      </c>
      <c r="P26" s="33"/>
      <c r="Q26" s="8"/>
    </row>
    <row r="27" spans="2:17" ht="15">
      <c r="B27" s="36" t="s">
        <v>95</v>
      </c>
      <c r="C27" s="126"/>
      <c r="D27" s="151"/>
      <c r="E27" s="141">
        <v>-165000</v>
      </c>
      <c r="F27" s="152"/>
      <c r="G27" s="140"/>
      <c r="H27" s="227"/>
      <c r="I27" s="217">
        <v>-175000</v>
      </c>
      <c r="J27" s="236"/>
      <c r="K27" s="222"/>
      <c r="L27" s="222"/>
      <c r="M27" s="249">
        <f t="shared" si="1"/>
        <v>0.07428571428571429</v>
      </c>
      <c r="N27" s="227"/>
      <c r="O27" s="217">
        <v>-188000</v>
      </c>
      <c r="P27" s="228"/>
      <c r="Q27" s="8"/>
    </row>
    <row r="28" spans="3:17" ht="15">
      <c r="C28" s="126"/>
      <c r="D28" s="91"/>
      <c r="E28" s="143"/>
      <c r="G28" s="116"/>
      <c r="H28" s="229"/>
      <c r="I28" s="222"/>
      <c r="J28" s="222"/>
      <c r="K28" s="222"/>
      <c r="L28" s="222"/>
      <c r="M28" s="245"/>
      <c r="N28" s="229"/>
      <c r="O28" s="222"/>
      <c r="P28" s="216"/>
      <c r="Q28" s="8"/>
    </row>
    <row r="29" spans="2:17" ht="15">
      <c r="B29" s="12" t="s">
        <v>35</v>
      </c>
      <c r="C29" s="139"/>
      <c r="D29" s="70"/>
      <c r="E29" s="154">
        <f>SUM(E30:E35)</f>
        <v>-281733.894</v>
      </c>
      <c r="F29" s="12"/>
      <c r="G29" s="115"/>
      <c r="H29" s="1"/>
      <c r="I29" s="215">
        <f>SUM(I30:I35)</f>
        <v>-207100</v>
      </c>
      <c r="J29" s="215"/>
      <c r="K29" s="215"/>
      <c r="L29" s="215"/>
      <c r="M29" s="249">
        <f aca="true" t="shared" si="2" ref="M29:M35">+(O29-I29)/I29</f>
        <v>0.07387735393529696</v>
      </c>
      <c r="N29" s="214"/>
      <c r="O29" s="215">
        <f>SUM(O30:O35)</f>
        <v>-222400</v>
      </c>
      <c r="P29" s="41"/>
      <c r="Q29" s="41"/>
    </row>
    <row r="30" spans="2:17" ht="15">
      <c r="B30" t="s">
        <v>36</v>
      </c>
      <c r="C30" s="126"/>
      <c r="D30" s="156"/>
      <c r="E30" s="157">
        <v>-11634.87</v>
      </c>
      <c r="F30" s="162"/>
      <c r="G30" s="115"/>
      <c r="H30" s="22"/>
      <c r="I30" s="220">
        <v>-11600</v>
      </c>
      <c r="J30" s="221"/>
      <c r="K30" s="222"/>
      <c r="L30" s="222"/>
      <c r="M30" s="249">
        <f t="shared" si="2"/>
        <v>0.06896551724137931</v>
      </c>
      <c r="N30" s="219"/>
      <c r="O30" s="220">
        <v>-12400</v>
      </c>
      <c r="P30" s="25"/>
      <c r="Q30" s="8"/>
    </row>
    <row r="31" spans="2:17" ht="15">
      <c r="B31" t="s">
        <v>37</v>
      </c>
      <c r="C31" s="126"/>
      <c r="D31" s="159"/>
      <c r="E31" s="158">
        <v>-71033.992</v>
      </c>
      <c r="F31" s="161"/>
      <c r="G31" s="115"/>
      <c r="H31" s="31"/>
      <c r="I31" s="222">
        <v>-20000</v>
      </c>
      <c r="J31" s="224"/>
      <c r="K31" s="222"/>
      <c r="L31" s="222"/>
      <c r="M31" s="249">
        <f t="shared" si="2"/>
        <v>0.07</v>
      </c>
      <c r="N31" s="223"/>
      <c r="O31" s="222">
        <v>-21400</v>
      </c>
      <c r="P31" s="33"/>
      <c r="Q31" s="8"/>
    </row>
    <row r="32" spans="2:17" ht="15">
      <c r="B32" t="s">
        <v>38</v>
      </c>
      <c r="C32" s="126"/>
      <c r="D32" s="159"/>
      <c r="E32" s="158">
        <v>-37100</v>
      </c>
      <c r="F32" s="161"/>
      <c r="G32" s="115"/>
      <c r="H32" s="31"/>
      <c r="I32" s="222">
        <v>-40000</v>
      </c>
      <c r="J32" s="224"/>
      <c r="K32" s="222"/>
      <c r="L32" s="222"/>
      <c r="M32" s="249">
        <f t="shared" si="2"/>
        <v>0.0625</v>
      </c>
      <c r="N32" s="223"/>
      <c r="O32" s="222">
        <v>-42500</v>
      </c>
      <c r="P32" s="33"/>
      <c r="Q32" s="8"/>
    </row>
    <row r="33" spans="2:17" ht="15">
      <c r="B33" t="s">
        <v>39</v>
      </c>
      <c r="C33" s="126"/>
      <c r="D33" s="159"/>
      <c r="E33" s="158">
        <v>-33920</v>
      </c>
      <c r="F33" s="161"/>
      <c r="G33" s="115"/>
      <c r="H33" s="31"/>
      <c r="I33" s="222">
        <v>-36000</v>
      </c>
      <c r="J33" s="224"/>
      <c r="K33" s="222"/>
      <c r="L33" s="222"/>
      <c r="M33" s="249">
        <f t="shared" si="2"/>
        <v>0.06944444444444445</v>
      </c>
      <c r="N33" s="223"/>
      <c r="O33" s="222">
        <v>-38500</v>
      </c>
      <c r="P33" s="33"/>
      <c r="Q33" s="8"/>
    </row>
    <row r="34" spans="2:17" ht="15">
      <c r="B34" t="s">
        <v>40</v>
      </c>
      <c r="C34" s="126"/>
      <c r="D34" s="159"/>
      <c r="E34" s="158">
        <v>-22045.032</v>
      </c>
      <c r="F34" s="161"/>
      <c r="G34" s="115"/>
      <c r="H34" s="31"/>
      <c r="I34" s="222">
        <v>-22000</v>
      </c>
      <c r="J34" s="224"/>
      <c r="K34" s="222"/>
      <c r="L34" s="222"/>
      <c r="M34" s="249">
        <f t="shared" si="2"/>
        <v>0.07272727272727272</v>
      </c>
      <c r="N34" s="223"/>
      <c r="O34" s="222">
        <v>-23600</v>
      </c>
      <c r="P34" s="33"/>
      <c r="Q34" s="8"/>
    </row>
    <row r="35" spans="2:17" ht="15">
      <c r="B35" t="s">
        <v>41</v>
      </c>
      <c r="C35" s="126"/>
      <c r="D35" s="160"/>
      <c r="E35" s="155">
        <v>-106000</v>
      </c>
      <c r="F35" s="163"/>
      <c r="G35" s="115"/>
      <c r="H35" s="31"/>
      <c r="I35" s="222">
        <v>-77500</v>
      </c>
      <c r="J35" s="224"/>
      <c r="K35" s="222"/>
      <c r="L35" s="222"/>
      <c r="M35" s="249">
        <f t="shared" si="2"/>
        <v>0.08387096774193549</v>
      </c>
      <c r="N35" s="223"/>
      <c r="O35" s="222">
        <v>-84000</v>
      </c>
      <c r="P35" s="33"/>
      <c r="Q35" s="8"/>
    </row>
    <row r="36" spans="3:17" ht="15">
      <c r="C36" s="143"/>
      <c r="D36" s="144"/>
      <c r="E36" s="143"/>
      <c r="G36" s="116"/>
      <c r="H36" s="51"/>
      <c r="I36" s="217"/>
      <c r="J36" s="236"/>
      <c r="K36" s="222"/>
      <c r="L36" s="222"/>
      <c r="M36" s="245"/>
      <c r="N36" s="227"/>
      <c r="O36" s="217" t="s">
        <v>57</v>
      </c>
      <c r="P36" s="52"/>
      <c r="Q36" s="8"/>
    </row>
    <row r="37" spans="3:17" ht="15">
      <c r="C37" s="124"/>
      <c r="D37" s="91"/>
      <c r="E37" s="89"/>
      <c r="G37" s="116"/>
      <c r="H37" s="1"/>
      <c r="I37" s="215"/>
      <c r="J37" s="215"/>
      <c r="K37" s="215"/>
      <c r="L37" s="215"/>
      <c r="M37" s="246"/>
      <c r="N37" s="214"/>
      <c r="O37" s="215"/>
      <c r="P37" s="41"/>
      <c r="Q37" s="41"/>
    </row>
    <row r="38" spans="2:17" ht="15">
      <c r="B38" s="12" t="s">
        <v>42</v>
      </c>
      <c r="C38" s="164"/>
      <c r="D38" s="70"/>
      <c r="E38" s="164">
        <f>SUM(E39:E42)</f>
        <v>-98117.84848</v>
      </c>
      <c r="F38" s="12"/>
      <c r="G38" s="115"/>
      <c r="H38" s="1"/>
      <c r="I38" s="215">
        <f>SUM(I39:I42)</f>
        <v>-337750</v>
      </c>
      <c r="J38" s="215"/>
      <c r="K38" s="215"/>
      <c r="L38" s="215"/>
      <c r="M38" s="249">
        <f aca="true" t="shared" si="3" ref="M38:M51">+(O38-I38)/I38</f>
        <v>0.06564026646928202</v>
      </c>
      <c r="N38" s="214"/>
      <c r="O38" s="215">
        <f>SUM(O39:O42)</f>
        <v>-359920</v>
      </c>
      <c r="P38" s="41"/>
      <c r="Q38" s="41"/>
    </row>
    <row r="39" spans="2:17" ht="15">
      <c r="B39" s="121" t="s">
        <v>101</v>
      </c>
      <c r="C39" s="126"/>
      <c r="D39" s="91"/>
      <c r="E39" s="166">
        <v>-74200</v>
      </c>
      <c r="F39" s="91"/>
      <c r="G39" s="115"/>
      <c r="H39" s="22"/>
      <c r="I39" s="220">
        <v>-320000</v>
      </c>
      <c r="J39" s="221"/>
      <c r="K39" s="222"/>
      <c r="L39" s="222"/>
      <c r="M39" s="249">
        <f t="shared" si="3"/>
        <v>0.0625</v>
      </c>
      <c r="N39" s="219"/>
      <c r="O39" s="220">
        <v>-340000</v>
      </c>
      <c r="P39" s="25"/>
      <c r="Q39" s="8"/>
    </row>
    <row r="40" spans="2:17" ht="15">
      <c r="B40" t="s">
        <v>44</v>
      </c>
      <c r="C40" s="126"/>
      <c r="D40" s="91"/>
      <c r="E40" s="167">
        <v>-3033.72</v>
      </c>
      <c r="F40" s="91"/>
      <c r="G40" s="115"/>
      <c r="H40" s="31"/>
      <c r="I40" s="222">
        <v>-3100</v>
      </c>
      <c r="J40" s="190"/>
      <c r="K40" s="189"/>
      <c r="L40" s="189"/>
      <c r="M40" s="249">
        <f t="shared" si="3"/>
        <v>0.07096774193548387</v>
      </c>
      <c r="N40" s="223"/>
      <c r="O40" s="222">
        <v>-3320</v>
      </c>
      <c r="P40" s="64"/>
      <c r="Q40" s="65"/>
    </row>
    <row r="41" spans="2:17" ht="15">
      <c r="B41" t="s">
        <v>45</v>
      </c>
      <c r="C41" s="126"/>
      <c r="D41" s="91"/>
      <c r="E41" s="167">
        <v>-8749.24848</v>
      </c>
      <c r="F41" s="91"/>
      <c r="G41" s="115"/>
      <c r="H41" s="31"/>
      <c r="I41" s="222">
        <v>-7500</v>
      </c>
      <c r="J41" s="224"/>
      <c r="K41" s="222"/>
      <c r="L41" s="222"/>
      <c r="M41" s="249">
        <f t="shared" si="3"/>
        <v>0.21333333333333335</v>
      </c>
      <c r="N41" s="223"/>
      <c r="O41" s="222">
        <v>-9100</v>
      </c>
      <c r="P41" s="33"/>
      <c r="Q41" s="8"/>
    </row>
    <row r="42" spans="2:17" ht="15">
      <c r="B42" s="91" t="s">
        <v>46</v>
      </c>
      <c r="C42" s="126"/>
      <c r="D42" s="91"/>
      <c r="E42" s="165">
        <v>-12134.88</v>
      </c>
      <c r="F42" s="91"/>
      <c r="G42" s="115"/>
      <c r="H42" s="31"/>
      <c r="I42" s="222">
        <v>-7150</v>
      </c>
      <c r="J42" s="224"/>
      <c r="K42" s="222"/>
      <c r="L42" s="222"/>
      <c r="M42" s="249">
        <f t="shared" si="3"/>
        <v>0.04895104895104895</v>
      </c>
      <c r="N42" s="223"/>
      <c r="O42" s="222">
        <v>-7500</v>
      </c>
      <c r="P42" s="33"/>
      <c r="Q42" s="8"/>
    </row>
    <row r="43" spans="3:17" ht="15">
      <c r="C43" s="126"/>
      <c r="D43" s="91"/>
      <c r="E43" s="167"/>
      <c r="G43" s="116"/>
      <c r="H43" s="51"/>
      <c r="I43" s="217"/>
      <c r="J43" s="236"/>
      <c r="K43" s="222"/>
      <c r="L43" s="222"/>
      <c r="M43" s="28"/>
      <c r="N43" s="227"/>
      <c r="O43" s="217"/>
      <c r="P43" s="52"/>
      <c r="Q43" s="8"/>
    </row>
    <row r="44" spans="3:17" ht="15">
      <c r="C44" s="167"/>
      <c r="D44" s="168"/>
      <c r="E44" s="167"/>
      <c r="G44" s="116"/>
      <c r="H44" s="1"/>
      <c r="I44" s="215"/>
      <c r="J44" s="215"/>
      <c r="K44" s="215"/>
      <c r="L44" s="215"/>
      <c r="M44" s="28"/>
      <c r="N44" s="214"/>
      <c r="O44" s="215"/>
      <c r="P44" s="41"/>
      <c r="Q44" s="41"/>
    </row>
    <row r="45" spans="2:17" ht="15">
      <c r="B45" s="12" t="s">
        <v>47</v>
      </c>
      <c r="C45" s="164"/>
      <c r="D45" s="70"/>
      <c r="E45" s="169">
        <f>SUM(E46:E51)</f>
        <v>-262884.24</v>
      </c>
      <c r="F45" s="12"/>
      <c r="G45" s="133"/>
      <c r="H45" s="1"/>
      <c r="I45" s="215">
        <f>SUM(I46:I51)</f>
        <v>-259100</v>
      </c>
      <c r="J45" s="215"/>
      <c r="K45" s="215"/>
      <c r="L45" s="215"/>
      <c r="M45" s="28">
        <f t="shared" si="3"/>
        <v>0.05596294866846777</v>
      </c>
      <c r="N45" s="214"/>
      <c r="O45" s="215">
        <f>SUM(O46:O51)</f>
        <v>-273600</v>
      </c>
      <c r="P45" s="41"/>
      <c r="Q45" s="41"/>
    </row>
    <row r="46" spans="2:17" ht="15">
      <c r="B46" t="s">
        <v>48</v>
      </c>
      <c r="C46" s="126"/>
      <c r="D46" s="175"/>
      <c r="E46" s="172">
        <v>-22260</v>
      </c>
      <c r="F46" s="176"/>
      <c r="G46" s="170"/>
      <c r="H46" s="219"/>
      <c r="I46" s="220">
        <v>-23000</v>
      </c>
      <c r="J46" s="221"/>
      <c r="K46" s="222"/>
      <c r="L46" s="222"/>
      <c r="M46" s="28">
        <f t="shared" si="3"/>
        <v>0.06521739130434782</v>
      </c>
      <c r="N46" s="219"/>
      <c r="O46" s="220">
        <v>-24500</v>
      </c>
      <c r="P46" s="25"/>
      <c r="Q46" s="8"/>
    </row>
    <row r="47" spans="2:17" ht="15">
      <c r="B47" s="36" t="s">
        <v>49</v>
      </c>
      <c r="C47" s="126"/>
      <c r="D47" s="177"/>
      <c r="E47" s="173">
        <v>-199619.2</v>
      </c>
      <c r="F47" s="174"/>
      <c r="G47" s="170"/>
      <c r="H47" s="223"/>
      <c r="I47" s="222">
        <v>-200000</v>
      </c>
      <c r="J47" s="224"/>
      <c r="K47" s="222"/>
      <c r="L47" s="222"/>
      <c r="M47" s="28">
        <f t="shared" si="3"/>
        <v>0.05</v>
      </c>
      <c r="N47" s="223"/>
      <c r="O47" s="222">
        <v>-210000</v>
      </c>
      <c r="P47" s="33"/>
      <c r="Q47" s="8"/>
    </row>
    <row r="48" spans="2:17" ht="15">
      <c r="B48" t="s">
        <v>50</v>
      </c>
      <c r="C48" s="126"/>
      <c r="D48" s="177"/>
      <c r="E48" s="173"/>
      <c r="F48" s="174"/>
      <c r="G48" s="170"/>
      <c r="H48" s="223"/>
      <c r="I48" s="222"/>
      <c r="J48" s="224"/>
      <c r="K48" s="222"/>
      <c r="L48" s="222"/>
      <c r="M48" s="28"/>
      <c r="N48" s="223"/>
      <c r="O48" s="222"/>
      <c r="P48" s="33"/>
      <c r="Q48" s="8"/>
    </row>
    <row r="49" spans="2:17" ht="15">
      <c r="B49" t="s">
        <v>51</v>
      </c>
      <c r="C49" s="126"/>
      <c r="D49" s="177"/>
      <c r="E49" s="173">
        <v>-1060</v>
      </c>
      <c r="F49" s="174"/>
      <c r="G49" s="170"/>
      <c r="H49" s="223"/>
      <c r="I49" s="222">
        <v>-1100</v>
      </c>
      <c r="J49" s="224"/>
      <c r="K49" s="222"/>
      <c r="L49" s="222"/>
      <c r="M49" s="28">
        <f t="shared" si="3"/>
        <v>0.09090909090909091</v>
      </c>
      <c r="N49" s="223"/>
      <c r="O49" s="222">
        <v>-1200</v>
      </c>
      <c r="P49" s="33"/>
      <c r="Q49" s="8"/>
    </row>
    <row r="50" spans="2:17" ht="15">
      <c r="B50" t="s">
        <v>56</v>
      </c>
      <c r="C50" s="126"/>
      <c r="D50" s="177"/>
      <c r="E50" s="173">
        <v>-24045.04</v>
      </c>
      <c r="F50" s="174"/>
      <c r="G50" s="170"/>
      <c r="H50" s="223"/>
      <c r="I50" s="222">
        <v>-20000</v>
      </c>
      <c r="J50" s="224"/>
      <c r="K50" s="222"/>
      <c r="L50" s="222"/>
      <c r="M50" s="28">
        <f t="shared" si="3"/>
        <v>0.1</v>
      </c>
      <c r="N50" s="223"/>
      <c r="O50" s="222">
        <v>-22000</v>
      </c>
      <c r="P50" s="33"/>
      <c r="Q50" s="8"/>
    </row>
    <row r="51" spans="2:17" ht="15">
      <c r="B51" t="s">
        <v>52</v>
      </c>
      <c r="C51" s="126"/>
      <c r="D51" s="178"/>
      <c r="E51" s="171">
        <v>-15900</v>
      </c>
      <c r="F51" s="179"/>
      <c r="G51" s="170"/>
      <c r="H51" s="227"/>
      <c r="I51" s="217">
        <v>-15000</v>
      </c>
      <c r="J51" s="236"/>
      <c r="K51" s="222"/>
      <c r="L51" s="222"/>
      <c r="M51" s="249">
        <f t="shared" si="3"/>
        <v>0.06</v>
      </c>
      <c r="N51" s="227"/>
      <c r="O51" s="217">
        <v>-15900</v>
      </c>
      <c r="P51" s="228"/>
      <c r="Q51" s="8"/>
    </row>
    <row r="52" spans="3:17" ht="15">
      <c r="C52" s="126"/>
      <c r="E52" s="173"/>
      <c r="G52" s="117"/>
      <c r="H52" s="229"/>
      <c r="I52" s="222"/>
      <c r="J52" s="222"/>
      <c r="K52" s="222"/>
      <c r="L52" s="222"/>
      <c r="M52" s="245"/>
      <c r="N52" s="229"/>
      <c r="O52" s="222"/>
      <c r="P52" s="216"/>
      <c r="Q52" s="8"/>
    </row>
    <row r="53" spans="3:17" ht="15">
      <c r="C53" s="173"/>
      <c r="D53" s="170"/>
      <c r="E53" s="173"/>
      <c r="G53" s="116"/>
      <c r="H53" s="1"/>
      <c r="I53" s="215"/>
      <c r="J53" s="215"/>
      <c r="K53" s="215"/>
      <c r="L53" s="215"/>
      <c r="M53" s="246"/>
      <c r="N53" s="214"/>
      <c r="O53" s="215"/>
      <c r="Q53" s="41"/>
    </row>
    <row r="54" spans="2:17" ht="15">
      <c r="B54" s="12" t="s">
        <v>53</v>
      </c>
      <c r="C54" s="126"/>
      <c r="D54" s="12"/>
      <c r="E54" s="90">
        <v>-185300</v>
      </c>
      <c r="F54" s="12"/>
      <c r="G54" s="115"/>
      <c r="H54" s="1"/>
      <c r="I54" s="222">
        <v>-196000</v>
      </c>
      <c r="J54" s="215"/>
      <c r="K54" s="215"/>
      <c r="L54" s="215"/>
      <c r="M54" s="249">
        <f aca="true" t="shared" si="4" ref="M54:M64">+(O54-I54)/I54</f>
        <v>0.061224489795918366</v>
      </c>
      <c r="N54" s="214"/>
      <c r="O54" s="222">
        <v>-208000</v>
      </c>
      <c r="Q54" s="41"/>
    </row>
    <row r="55" spans="1:17" s="98" customFormat="1" ht="15">
      <c r="A55" s="213"/>
      <c r="B55" s="12" t="s">
        <v>77</v>
      </c>
      <c r="C55" s="126"/>
      <c r="D55" s="12"/>
      <c r="E55" s="92">
        <v>-355154</v>
      </c>
      <c r="F55" s="12"/>
      <c r="G55" s="115"/>
      <c r="H55" s="91"/>
      <c r="I55" s="222">
        <v>-322000</v>
      </c>
      <c r="J55" s="215"/>
      <c r="K55" s="215"/>
      <c r="L55" s="215"/>
      <c r="M55" s="249">
        <f t="shared" si="4"/>
        <v>0.07453416149068323</v>
      </c>
      <c r="N55" s="214"/>
      <c r="O55" s="222">
        <v>-346000</v>
      </c>
      <c r="Q55" s="41"/>
    </row>
    <row r="56" spans="1:17" s="100" customFormat="1" ht="15">
      <c r="A56" s="213"/>
      <c r="B56" s="12"/>
      <c r="C56" s="126"/>
      <c r="D56" s="12"/>
      <c r="E56" s="92"/>
      <c r="F56" s="12"/>
      <c r="G56" s="115"/>
      <c r="H56" s="91"/>
      <c r="I56" s="222"/>
      <c r="J56" s="215"/>
      <c r="K56" s="215"/>
      <c r="L56" s="215"/>
      <c r="M56" s="249"/>
      <c r="N56" s="214"/>
      <c r="O56" s="222"/>
      <c r="Q56" s="41"/>
    </row>
    <row r="57" spans="1:17" s="112" customFormat="1" ht="15">
      <c r="A57" s="213"/>
      <c r="B57" s="12" t="s">
        <v>96</v>
      </c>
      <c r="C57" s="126"/>
      <c r="D57" s="12"/>
      <c r="E57" s="185">
        <f>SUM(E58:E64)</f>
        <v>-1617000</v>
      </c>
      <c r="F57" s="12"/>
      <c r="G57" s="115"/>
      <c r="H57" s="91"/>
      <c r="I57" s="222">
        <f>SUM(I58:I64)</f>
        <v>-1798602</v>
      </c>
      <c r="J57" s="215"/>
      <c r="K57" s="215"/>
      <c r="L57" s="215"/>
      <c r="M57" s="249"/>
      <c r="N57" s="214"/>
      <c r="O57" s="222">
        <f>SUM(O58:O64)</f>
        <v>-1797860</v>
      </c>
      <c r="Q57" s="41"/>
    </row>
    <row r="58" spans="1:21" s="98" customFormat="1" ht="15.75">
      <c r="A58" s="213"/>
      <c r="B58" s="240" t="s">
        <v>78</v>
      </c>
      <c r="C58" s="131"/>
      <c r="D58" s="181"/>
      <c r="E58" s="184">
        <v>-750000</v>
      </c>
      <c r="F58" s="180"/>
      <c r="G58" s="115"/>
      <c r="H58" s="219"/>
      <c r="I58" s="220">
        <f>-856402-160000</f>
        <v>-1016402</v>
      </c>
      <c r="J58" s="221"/>
      <c r="K58" s="215"/>
      <c r="L58" s="215"/>
      <c r="M58" s="249">
        <f t="shared" si="4"/>
        <v>-0.04073388285343791</v>
      </c>
      <c r="N58" s="219"/>
      <c r="O58" s="220">
        <f>-815000-160000</f>
        <v>-975000</v>
      </c>
      <c r="P58" s="254"/>
      <c r="Q58" s="41"/>
      <c r="U58" s="263"/>
    </row>
    <row r="59" spans="1:21" s="98" customFormat="1" ht="15.75">
      <c r="A59" s="213"/>
      <c r="B59" s="240" t="s">
        <v>79</v>
      </c>
      <c r="C59" s="131"/>
      <c r="D59" s="135"/>
      <c r="E59" s="185">
        <v>-275000</v>
      </c>
      <c r="F59" s="120"/>
      <c r="G59" s="115"/>
      <c r="H59" s="223"/>
      <c r="I59" s="222">
        <f>-291200+190000</f>
        <v>-101200</v>
      </c>
      <c r="J59" s="224"/>
      <c r="K59" s="215"/>
      <c r="L59" s="215"/>
      <c r="M59" s="249">
        <f t="shared" si="4"/>
        <v>0.037549407114624504</v>
      </c>
      <c r="N59" s="223"/>
      <c r="O59" s="222">
        <f>-295000+190000</f>
        <v>-105000</v>
      </c>
      <c r="P59" s="230"/>
      <c r="Q59" s="41"/>
      <c r="U59" s="225"/>
    </row>
    <row r="60" spans="1:17" s="98" customFormat="1" ht="15.75">
      <c r="A60" s="213"/>
      <c r="B60" s="240" t="s">
        <v>80</v>
      </c>
      <c r="C60" s="131"/>
      <c r="D60" s="135"/>
      <c r="E60" s="185">
        <v>-75000</v>
      </c>
      <c r="F60" s="120"/>
      <c r="G60" s="115"/>
      <c r="H60" s="223"/>
      <c r="I60" s="222">
        <v>-85000</v>
      </c>
      <c r="J60" s="224"/>
      <c r="K60" s="215"/>
      <c r="L60" s="215"/>
      <c r="M60" s="249">
        <f t="shared" si="4"/>
        <v>0.06</v>
      </c>
      <c r="N60" s="223"/>
      <c r="O60" s="222">
        <v>-90100</v>
      </c>
      <c r="P60" s="230"/>
      <c r="Q60" s="41"/>
    </row>
    <row r="61" spans="1:17" s="98" customFormat="1" ht="15.75">
      <c r="A61" s="213"/>
      <c r="B61" s="240" t="s">
        <v>81</v>
      </c>
      <c r="C61" s="131"/>
      <c r="D61" s="135"/>
      <c r="E61" s="185">
        <v>-70000</v>
      </c>
      <c r="F61" s="120"/>
      <c r="G61" s="115"/>
      <c r="H61" s="223"/>
      <c r="I61" s="222">
        <v>-95000</v>
      </c>
      <c r="J61" s="224"/>
      <c r="K61" s="215"/>
      <c r="L61" s="215"/>
      <c r="M61" s="249">
        <f t="shared" si="4"/>
        <v>0.06</v>
      </c>
      <c r="N61" s="223"/>
      <c r="O61" s="222">
        <v>-100700</v>
      </c>
      <c r="P61" s="230"/>
      <c r="Q61" s="41"/>
    </row>
    <row r="62" spans="1:17" s="98" customFormat="1" ht="15.75">
      <c r="A62" s="213"/>
      <c r="B62" s="240" t="s">
        <v>82</v>
      </c>
      <c r="C62" s="131"/>
      <c r="D62" s="135"/>
      <c r="E62" s="185">
        <v>-200000</v>
      </c>
      <c r="F62" s="120"/>
      <c r="G62" s="115"/>
      <c r="H62" s="223"/>
      <c r="I62" s="222">
        <v>-250000</v>
      </c>
      <c r="J62" s="224"/>
      <c r="K62" s="215"/>
      <c r="L62" s="215"/>
      <c r="M62" s="249">
        <f t="shared" si="4"/>
        <v>0.08</v>
      </c>
      <c r="N62" s="223"/>
      <c r="O62" s="222">
        <v>-270000</v>
      </c>
      <c r="P62" s="230"/>
      <c r="Q62" s="41"/>
    </row>
    <row r="63" spans="1:17" s="98" customFormat="1" ht="15.75">
      <c r="A63" s="213"/>
      <c r="B63" s="240" t="s">
        <v>83</v>
      </c>
      <c r="C63" s="131"/>
      <c r="D63" s="135"/>
      <c r="E63" s="185">
        <v>-97000</v>
      </c>
      <c r="F63" s="120"/>
      <c r="G63" s="115"/>
      <c r="H63" s="223"/>
      <c r="I63" s="222">
        <v>-101000</v>
      </c>
      <c r="J63" s="224"/>
      <c r="K63" s="215"/>
      <c r="L63" s="215"/>
      <c r="M63" s="249">
        <f t="shared" si="4"/>
        <v>0.06</v>
      </c>
      <c r="N63" s="223"/>
      <c r="O63" s="222">
        <v>-107060</v>
      </c>
      <c r="P63" s="230"/>
      <c r="Q63" s="41"/>
    </row>
    <row r="64" spans="1:17" s="112" customFormat="1" ht="15.75">
      <c r="A64" s="213"/>
      <c r="B64" s="240" t="s">
        <v>97</v>
      </c>
      <c r="C64" s="126"/>
      <c r="D64" s="134"/>
      <c r="E64" s="183">
        <v>-150000</v>
      </c>
      <c r="F64" s="137"/>
      <c r="G64" s="115"/>
      <c r="H64" s="227"/>
      <c r="I64" s="217">
        <v>-150000</v>
      </c>
      <c r="J64" s="236"/>
      <c r="K64" s="215"/>
      <c r="L64" s="215"/>
      <c r="M64" s="249">
        <f t="shared" si="4"/>
        <v>0</v>
      </c>
      <c r="N64" s="227"/>
      <c r="O64" s="217">
        <v>-150000</v>
      </c>
      <c r="P64" s="255"/>
      <c r="Q64" s="41"/>
    </row>
    <row r="65" spans="2:17" ht="15">
      <c r="B65" s="12"/>
      <c r="C65" s="126"/>
      <c r="D65" s="12"/>
      <c r="E65" s="92" t="s">
        <v>57</v>
      </c>
      <c r="F65" s="12"/>
      <c r="G65" s="115"/>
      <c r="H65" s="1"/>
      <c r="I65" s="222"/>
      <c r="J65" s="215"/>
      <c r="K65" s="215"/>
      <c r="L65" s="215"/>
      <c r="M65" s="246"/>
      <c r="N65" s="214"/>
      <c r="O65" s="222"/>
      <c r="Q65" s="41"/>
    </row>
    <row r="66" spans="2:17" ht="15.75" thickBot="1">
      <c r="B66" s="66" t="s">
        <v>54</v>
      </c>
      <c r="C66" s="136"/>
      <c r="D66" s="187"/>
      <c r="E66" s="72">
        <f>E57+E55+E54+E45+E38+E29+E20+E8</f>
        <v>-17536317.28248</v>
      </c>
      <c r="F66" s="66"/>
      <c r="G66" s="115"/>
      <c r="H66" s="54"/>
      <c r="I66" s="72">
        <f>I57+I55+I54+I45+I38+I29+I20+I8</f>
        <v>-19015217</v>
      </c>
      <c r="J66" s="222"/>
      <c r="K66" s="222"/>
      <c r="L66" s="222"/>
      <c r="M66" s="249">
        <v>0.05551455888925186</v>
      </c>
      <c r="N66" s="214"/>
      <c r="O66" s="72">
        <f>O57+O55+O54+O45+O38+O29+O20+O8</f>
        <v>-20361656.4</v>
      </c>
      <c r="P66" s="41"/>
      <c r="Q66" s="8"/>
    </row>
    <row r="67" spans="7:16" ht="15.75" thickTop="1">
      <c r="G67" s="116"/>
      <c r="I67" s="214"/>
      <c r="J67" s="214"/>
      <c r="K67" s="214"/>
      <c r="L67" s="214"/>
      <c r="M67" s="244"/>
      <c r="N67" s="214"/>
      <c r="O67" s="214"/>
      <c r="P67" s="41"/>
    </row>
    <row r="68" spans="3:16" ht="15">
      <c r="C68" s="10"/>
      <c r="D68" s="5"/>
      <c r="E68" s="11" t="s">
        <v>1</v>
      </c>
      <c r="G68" s="116"/>
      <c r="H68" s="5"/>
      <c r="I68" s="10" t="s">
        <v>1</v>
      </c>
      <c r="J68" s="214"/>
      <c r="K68" s="214"/>
      <c r="L68" s="214"/>
      <c r="M68" s="244"/>
      <c r="N68" s="214"/>
      <c r="O68" s="10" t="s">
        <v>1</v>
      </c>
      <c r="P68" s="41"/>
    </row>
    <row r="69" spans="2:16" ht="15">
      <c r="B69" s="12" t="s">
        <v>3</v>
      </c>
      <c r="C69" s="15"/>
      <c r="D69" s="1"/>
      <c r="E69" s="15">
        <v>2015</v>
      </c>
      <c r="G69" s="116"/>
      <c r="H69" s="91"/>
      <c r="I69" s="15">
        <v>2016</v>
      </c>
      <c r="J69" s="214"/>
      <c r="K69" s="214"/>
      <c r="L69" s="214"/>
      <c r="M69" s="244"/>
      <c r="N69" s="229"/>
      <c r="O69" s="15">
        <v>2017</v>
      </c>
      <c r="P69" s="8"/>
    </row>
    <row r="70" spans="3:15" ht="15">
      <c r="C70" s="123"/>
      <c r="D70" s="1"/>
      <c r="E70" s="1"/>
      <c r="G70" s="116"/>
      <c r="H70" s="91"/>
      <c r="I70" s="214"/>
      <c r="J70" s="214"/>
      <c r="K70" s="214"/>
      <c r="L70" s="214"/>
      <c r="M70" s="244"/>
      <c r="N70" s="214"/>
      <c r="O70" s="214"/>
    </row>
    <row r="71" spans="2:21" ht="15">
      <c r="B71" s="12" t="s">
        <v>5</v>
      </c>
      <c r="C71" s="29"/>
      <c r="D71" s="20"/>
      <c r="E71" s="35">
        <v>13464031</v>
      </c>
      <c r="F71" s="21"/>
      <c r="G71" s="115"/>
      <c r="H71" s="20"/>
      <c r="I71" s="29">
        <v>14632000</v>
      </c>
      <c r="J71" s="218"/>
      <c r="K71" s="214"/>
      <c r="L71" s="214"/>
      <c r="M71" s="249">
        <f aca="true" t="shared" si="5" ref="M71:M86">+(O71-I71)/I71</f>
        <v>0.09673516949152543</v>
      </c>
      <c r="N71" s="214"/>
      <c r="O71" s="29">
        <v>16047429</v>
      </c>
      <c r="U71" s="225"/>
    </row>
    <row r="72" spans="2:21" ht="15">
      <c r="B72" s="99" t="s">
        <v>91</v>
      </c>
      <c r="C72" s="124"/>
      <c r="D72" s="20"/>
      <c r="E72" s="212">
        <v>1600000</v>
      </c>
      <c r="F72" s="21"/>
      <c r="G72" s="115"/>
      <c r="H72" s="20"/>
      <c r="I72" s="215">
        <v>1200000</v>
      </c>
      <c r="J72" s="218"/>
      <c r="K72" s="214"/>
      <c r="L72" s="214"/>
      <c r="M72" s="249">
        <f t="shared" si="5"/>
        <v>0.08333333333333333</v>
      </c>
      <c r="N72" s="214"/>
      <c r="O72" s="215">
        <v>1300000</v>
      </c>
      <c r="U72" s="270"/>
    </row>
    <row r="73" spans="1:15" s="99" customFormat="1" ht="15">
      <c r="A73" s="213"/>
      <c r="B73" s="99" t="s">
        <v>90</v>
      </c>
      <c r="C73" s="131"/>
      <c r="D73" s="43"/>
      <c r="E73" s="212">
        <v>360000</v>
      </c>
      <c r="F73" s="44"/>
      <c r="G73" s="115"/>
      <c r="H73" s="43"/>
      <c r="I73" s="222">
        <v>600000</v>
      </c>
      <c r="J73" s="226"/>
      <c r="K73" s="214"/>
      <c r="L73" s="214"/>
      <c r="M73" s="249">
        <f t="shared" si="5"/>
        <v>0.08333333333333333</v>
      </c>
      <c r="N73" s="214"/>
      <c r="O73" s="222">
        <v>650000</v>
      </c>
    </row>
    <row r="74" spans="2:15" ht="15">
      <c r="B74" s="99" t="s">
        <v>92</v>
      </c>
      <c r="C74" s="126"/>
      <c r="D74" s="43"/>
      <c r="E74" s="212">
        <v>22260</v>
      </c>
      <c r="F74" s="43"/>
      <c r="G74" s="115"/>
      <c r="H74" s="43"/>
      <c r="I74" s="222">
        <v>24000</v>
      </c>
      <c r="J74" s="226"/>
      <c r="K74" s="214"/>
      <c r="L74" s="214"/>
      <c r="M74" s="249">
        <f t="shared" si="5"/>
        <v>0.041666666666666664</v>
      </c>
      <c r="N74" s="214"/>
      <c r="O74" s="222">
        <v>25000</v>
      </c>
    </row>
    <row r="75" spans="1:15" s="100" customFormat="1" ht="15">
      <c r="A75" s="213"/>
      <c r="B75" s="100" t="s">
        <v>93</v>
      </c>
      <c r="C75" s="124"/>
      <c r="D75" s="20"/>
      <c r="E75" s="212">
        <v>750000</v>
      </c>
      <c r="F75" s="21"/>
      <c r="G75" s="115"/>
      <c r="H75" s="20"/>
      <c r="I75" s="215">
        <v>900000</v>
      </c>
      <c r="J75" s="226"/>
      <c r="K75" s="214"/>
      <c r="L75" s="214"/>
      <c r="M75" s="249">
        <f t="shared" si="5"/>
        <v>-0.1111111111111111</v>
      </c>
      <c r="N75" s="214"/>
      <c r="O75" s="215">
        <v>800000</v>
      </c>
    </row>
    <row r="76" spans="1:15" s="192" customFormat="1" ht="15">
      <c r="A76" s="213"/>
      <c r="B76" s="211" t="s">
        <v>102</v>
      </c>
      <c r="C76" s="194"/>
      <c r="D76" s="196"/>
      <c r="E76" s="212">
        <v>-262500</v>
      </c>
      <c r="F76" s="197"/>
      <c r="G76" s="115"/>
      <c r="H76" s="196"/>
      <c r="I76" s="215"/>
      <c r="J76" s="226"/>
      <c r="K76" s="214"/>
      <c r="L76" s="214"/>
      <c r="M76" s="249"/>
      <c r="N76" s="214"/>
      <c r="O76" s="215"/>
    </row>
    <row r="77" spans="1:15" s="99" customFormat="1" ht="15">
      <c r="A77" s="213"/>
      <c r="C77" s="126"/>
      <c r="D77" s="54"/>
      <c r="E77" s="92"/>
      <c r="F77" s="54"/>
      <c r="G77" s="115"/>
      <c r="H77" s="54"/>
      <c r="I77" s="222"/>
      <c r="J77" s="232"/>
      <c r="K77" s="214"/>
      <c r="L77" s="214"/>
      <c r="M77" s="249"/>
      <c r="N77" s="214"/>
      <c r="O77" s="222"/>
    </row>
    <row r="78" spans="1:15" s="182" customFormat="1" ht="15">
      <c r="A78" s="213"/>
      <c r="B78" s="188" t="s">
        <v>96</v>
      </c>
      <c r="C78" s="185"/>
      <c r="D78" s="186"/>
      <c r="E78" s="199">
        <f>SUM(E79:E86)</f>
        <v>1511650</v>
      </c>
      <c r="F78" s="186"/>
      <c r="G78" s="115"/>
      <c r="H78" s="186"/>
      <c r="I78" s="222">
        <f>SUM(I79:I86)</f>
        <v>1431000</v>
      </c>
      <c r="J78" s="232"/>
      <c r="K78" s="214"/>
      <c r="L78" s="214"/>
      <c r="M78" s="249"/>
      <c r="N78" s="214"/>
      <c r="O78" s="222">
        <f>SUM(O79:O86)</f>
        <v>1498264</v>
      </c>
    </row>
    <row r="79" spans="1:16" s="99" customFormat="1" ht="15.75">
      <c r="A79" s="213"/>
      <c r="B79" s="204" t="s">
        <v>84</v>
      </c>
      <c r="C79" s="205"/>
      <c r="D79" s="198"/>
      <c r="E79" s="207">
        <v>600000</v>
      </c>
      <c r="F79" s="209"/>
      <c r="G79" s="115"/>
      <c r="H79" s="219"/>
      <c r="I79" s="269">
        <v>530000</v>
      </c>
      <c r="J79" s="256"/>
      <c r="K79" s="214"/>
      <c r="L79" s="214"/>
      <c r="M79" s="249">
        <f t="shared" si="5"/>
        <v>0.05660377358490566</v>
      </c>
      <c r="N79" s="219"/>
      <c r="O79" s="220">
        <v>560000</v>
      </c>
      <c r="P79" s="254"/>
    </row>
    <row r="80" spans="1:16" s="99" customFormat="1" ht="15.75">
      <c r="A80" s="213"/>
      <c r="B80" s="204" t="s">
        <v>85</v>
      </c>
      <c r="C80" s="205"/>
      <c r="D80" s="200"/>
      <c r="E80" s="206">
        <v>230000</v>
      </c>
      <c r="F80" s="203"/>
      <c r="G80" s="115"/>
      <c r="H80" s="223"/>
      <c r="I80" s="243">
        <v>200000</v>
      </c>
      <c r="J80" s="257"/>
      <c r="K80" s="214"/>
      <c r="L80" s="214"/>
      <c r="M80" s="249">
        <f t="shared" si="5"/>
        <v>0.05</v>
      </c>
      <c r="N80" s="223"/>
      <c r="O80" s="222">
        <v>210000</v>
      </c>
      <c r="P80" s="230"/>
    </row>
    <row r="81" spans="1:16" s="99" customFormat="1" ht="15.75">
      <c r="A81" s="213"/>
      <c r="B81" s="204" t="s">
        <v>86</v>
      </c>
      <c r="C81" s="205"/>
      <c r="D81" s="200"/>
      <c r="E81" s="206">
        <v>70000</v>
      </c>
      <c r="F81" s="203"/>
      <c r="G81" s="115"/>
      <c r="H81" s="223"/>
      <c r="I81" s="243">
        <v>70000</v>
      </c>
      <c r="J81" s="257"/>
      <c r="K81" s="214"/>
      <c r="L81" s="214"/>
      <c r="M81" s="249">
        <f t="shared" si="5"/>
        <v>0.07142857142857142</v>
      </c>
      <c r="N81" s="223"/>
      <c r="O81" s="222">
        <v>75000</v>
      </c>
      <c r="P81" s="230"/>
    </row>
    <row r="82" spans="1:16" s="99" customFormat="1" ht="15.75">
      <c r="A82" s="213"/>
      <c r="B82" s="204" t="s">
        <v>87</v>
      </c>
      <c r="C82" s="205"/>
      <c r="D82" s="200"/>
      <c r="E82" s="206">
        <v>95000</v>
      </c>
      <c r="F82" s="203"/>
      <c r="G82" s="115"/>
      <c r="H82" s="223"/>
      <c r="I82" s="243">
        <v>95000</v>
      </c>
      <c r="J82" s="257"/>
      <c r="K82" s="214"/>
      <c r="L82" s="214"/>
      <c r="M82" s="249">
        <f t="shared" si="5"/>
        <v>0.05263157894736842</v>
      </c>
      <c r="N82" s="223"/>
      <c r="O82" s="222">
        <v>100000</v>
      </c>
      <c r="P82" s="230"/>
    </row>
    <row r="83" spans="1:16" s="99" customFormat="1" ht="15.75">
      <c r="A83" s="213"/>
      <c r="B83" s="204" t="s">
        <v>88</v>
      </c>
      <c r="C83" s="205"/>
      <c r="D83" s="200"/>
      <c r="E83" s="206">
        <v>200000</v>
      </c>
      <c r="F83" s="203"/>
      <c r="G83" s="115"/>
      <c r="H83" s="223"/>
      <c r="I83" s="243">
        <v>195000</v>
      </c>
      <c r="J83" s="257"/>
      <c r="K83" s="214"/>
      <c r="L83" s="214"/>
      <c r="M83" s="249">
        <f t="shared" si="5"/>
        <v>0.02564102564102564</v>
      </c>
      <c r="N83" s="223"/>
      <c r="O83" s="222">
        <v>200000</v>
      </c>
      <c r="P83" s="230"/>
    </row>
    <row r="84" spans="1:16" s="99" customFormat="1" ht="15.75">
      <c r="A84" s="213"/>
      <c r="B84" s="204" t="s">
        <v>89</v>
      </c>
      <c r="C84" s="205"/>
      <c r="D84" s="200"/>
      <c r="E84" s="206">
        <v>101650</v>
      </c>
      <c r="F84" s="203"/>
      <c r="G84" s="115"/>
      <c r="H84" s="223"/>
      <c r="I84" s="243">
        <v>126000</v>
      </c>
      <c r="J84" s="257"/>
      <c r="K84" s="214"/>
      <c r="L84" s="214"/>
      <c r="M84" s="249">
        <f t="shared" si="5"/>
        <v>0.09733333333333333</v>
      </c>
      <c r="N84" s="223"/>
      <c r="O84" s="222">
        <v>138264</v>
      </c>
      <c r="P84" s="230"/>
    </row>
    <row r="85" spans="1:16" s="182" customFormat="1" ht="15.75">
      <c r="A85" s="213"/>
      <c r="B85" s="204" t="s">
        <v>99</v>
      </c>
      <c r="C85" s="205"/>
      <c r="D85" s="200"/>
      <c r="E85" s="206">
        <v>15000</v>
      </c>
      <c r="F85" s="203"/>
      <c r="G85" s="115"/>
      <c r="H85" s="223"/>
      <c r="I85" s="243">
        <v>15000</v>
      </c>
      <c r="J85" s="257"/>
      <c r="K85" s="214"/>
      <c r="L85" s="214"/>
      <c r="M85" s="249">
        <f t="shared" si="5"/>
        <v>0</v>
      </c>
      <c r="N85" s="223"/>
      <c r="O85" s="222">
        <v>15000</v>
      </c>
      <c r="P85" s="230"/>
    </row>
    <row r="86" spans="1:16" s="182" customFormat="1" ht="15">
      <c r="A86" s="213"/>
      <c r="B86" s="5" t="s">
        <v>98</v>
      </c>
      <c r="C86" s="205"/>
      <c r="D86" s="201"/>
      <c r="E86" s="195">
        <v>200000</v>
      </c>
      <c r="F86" s="210"/>
      <c r="G86" s="115"/>
      <c r="H86" s="227"/>
      <c r="I86" s="153">
        <v>200000</v>
      </c>
      <c r="J86" s="231"/>
      <c r="K86" s="214"/>
      <c r="L86" s="214"/>
      <c r="M86" s="249">
        <f t="shared" si="5"/>
        <v>0</v>
      </c>
      <c r="N86" s="227"/>
      <c r="O86" s="217">
        <v>200000</v>
      </c>
      <c r="P86" s="255"/>
    </row>
    <row r="87" spans="2:16" ht="15">
      <c r="B87" s="5"/>
      <c r="C87" s="199"/>
      <c r="D87" s="202"/>
      <c r="E87" s="199"/>
      <c r="F87" s="62"/>
      <c r="G87" s="115"/>
      <c r="H87" s="54"/>
      <c r="I87" s="222"/>
      <c r="J87" s="232"/>
      <c r="K87" s="214"/>
      <c r="L87" s="214"/>
      <c r="M87" s="244"/>
      <c r="N87" s="214"/>
      <c r="O87" s="222"/>
      <c r="P87" s="91"/>
    </row>
    <row r="88" spans="2:15" ht="15">
      <c r="B88" s="187" t="s">
        <v>28</v>
      </c>
      <c r="C88" s="199"/>
      <c r="D88" s="193"/>
      <c r="E88" s="208">
        <f>SUM(E71:E78)</f>
        <v>17445441</v>
      </c>
      <c r="F88" s="62"/>
      <c r="G88" s="115"/>
      <c r="H88" s="214"/>
      <c r="I88" s="251">
        <f>SUM(I71:I78)</f>
        <v>18787000</v>
      </c>
      <c r="J88" s="232"/>
      <c r="K88" s="214"/>
      <c r="L88" s="214"/>
      <c r="M88" s="249">
        <f>+(O88-I88)/I88</f>
        <v>0.08163586522595412</v>
      </c>
      <c r="N88" s="214"/>
      <c r="O88" s="251">
        <f>SUM(O71:O78)</f>
        <v>20320693</v>
      </c>
    </row>
    <row r="89" spans="3:15" ht="15">
      <c r="C89" s="124"/>
      <c r="D89" s="91"/>
      <c r="E89" s="3"/>
      <c r="F89" s="54"/>
      <c r="G89" s="115"/>
      <c r="H89" s="214"/>
      <c r="I89" s="215"/>
      <c r="J89" s="229"/>
      <c r="K89" s="214"/>
      <c r="L89" s="214"/>
      <c r="M89" s="244"/>
      <c r="N89" s="214"/>
      <c r="O89" s="215"/>
    </row>
    <row r="90" spans="2:15" ht="15.75" thickBot="1">
      <c r="B90" s="36" t="s">
        <v>100</v>
      </c>
      <c r="C90" s="222"/>
      <c r="D90" s="214"/>
      <c r="E90" s="252">
        <f>+E88+E66</f>
        <v>-90876.28248000145</v>
      </c>
      <c r="F90" s="62"/>
      <c r="G90" s="115"/>
      <c r="H90" s="214"/>
      <c r="I90" s="252">
        <f>+I88+I66</f>
        <v>-228217</v>
      </c>
      <c r="J90" s="232"/>
      <c r="K90" s="214"/>
      <c r="L90" s="214"/>
      <c r="M90" s="244"/>
      <c r="N90" s="214"/>
      <c r="O90" s="252">
        <f>+O88+O66</f>
        <v>-40963.39999999851</v>
      </c>
    </row>
    <row r="91" spans="3:15" ht="15.75" thickTop="1">
      <c r="C91" s="124"/>
      <c r="D91" s="70"/>
      <c r="E91" s="3"/>
      <c r="F91" s="6"/>
      <c r="G91" s="116"/>
      <c r="H91" s="70"/>
      <c r="I91" s="215"/>
      <c r="J91" s="229"/>
      <c r="K91" s="214"/>
      <c r="L91" s="214"/>
      <c r="M91" s="244"/>
      <c r="N91" s="214"/>
      <c r="O91" s="215"/>
    </row>
    <row r="92" spans="1:15" s="91" customFormat="1" ht="15">
      <c r="A92" s="214"/>
      <c r="B92" s="91" t="s">
        <v>94</v>
      </c>
      <c r="C92" s="130"/>
      <c r="D92" s="113"/>
      <c r="E92" s="113">
        <v>500000</v>
      </c>
      <c r="F92" s="113"/>
      <c r="G92" s="113"/>
      <c r="H92" s="113"/>
      <c r="I92" s="242">
        <v>600000</v>
      </c>
      <c r="J92" s="242"/>
      <c r="K92" s="242"/>
      <c r="L92" s="242"/>
      <c r="M92" s="253"/>
      <c r="N92" s="242"/>
      <c r="O92" s="242">
        <v>650000</v>
      </c>
    </row>
    <row r="93" spans="2:15" ht="15.75" thickBot="1">
      <c r="B93" s="262" t="s">
        <v>104</v>
      </c>
      <c r="E93" s="191">
        <f>+E90+E92</f>
        <v>409123.71751999855</v>
      </c>
      <c r="I93" s="191">
        <f>+I90+I92</f>
        <v>371783</v>
      </c>
      <c r="J93" s="214"/>
      <c r="K93" s="214"/>
      <c r="L93" s="214"/>
      <c r="M93" s="244"/>
      <c r="N93" s="214"/>
      <c r="O93" s="191">
        <f>+O90+O92</f>
        <v>609036.6000000015</v>
      </c>
    </row>
    <row r="94" ht="15.75" thickTop="1"/>
    <row r="96" spans="9:15" ht="15">
      <c r="I96" s="225"/>
      <c r="O96" s="225"/>
    </row>
  </sheetData>
  <sheetProtection/>
  <mergeCells count="1">
    <mergeCell ref="B2:E2"/>
  </mergeCells>
  <printOptions/>
  <pageMargins left="1.141732283464567" right="0.15748031496062992" top="0.5118110236220472" bottom="0.4724409448818898" header="0.31496062992125984" footer="0.31496062992125984"/>
  <pageSetup fitToHeight="1" fitToWidth="1"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5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38.28125" style="0" customWidth="1"/>
    <col min="3" max="3" width="1.8515625" style="100" customWidth="1"/>
    <col min="4" max="4" width="13.57421875" style="100" customWidth="1"/>
    <col min="5" max="5" width="6.57421875" style="100" customWidth="1"/>
    <col min="6" max="6" width="12.8515625" style="0" customWidth="1"/>
    <col min="7" max="7" width="4.140625" style="98" customWidth="1"/>
    <col min="8" max="8" width="13.7109375" style="0" customWidth="1"/>
  </cols>
  <sheetData>
    <row r="2" spans="2:8" s="213" customFormat="1" ht="18">
      <c r="B2" s="271" t="s">
        <v>103</v>
      </c>
      <c r="C2" s="272"/>
      <c r="D2" s="272"/>
      <c r="E2" s="272"/>
      <c r="F2" s="272"/>
      <c r="H2" s="239" t="str">
        <f>+Budget!O2</f>
        <v>SCHEDULE 1</v>
      </c>
    </row>
    <row r="3" spans="2:8" s="213" customFormat="1" ht="15.75">
      <c r="B3" s="87"/>
      <c r="C3" s="239"/>
      <c r="D3" s="239" t="s">
        <v>105</v>
      </c>
      <c r="H3" s="258" t="str">
        <f>+Budget!O3</f>
        <v>29.09.15</v>
      </c>
    </row>
    <row r="4" ht="15">
      <c r="B4" s="97"/>
    </row>
    <row r="5" spans="2:8" ht="15.75">
      <c r="B5" s="95"/>
      <c r="C5" s="106"/>
      <c r="D5" s="259" t="s">
        <v>1</v>
      </c>
      <c r="E5" s="106"/>
      <c r="F5" s="259" t="s">
        <v>1</v>
      </c>
      <c r="G5" s="106"/>
      <c r="H5" s="259" t="s">
        <v>1</v>
      </c>
    </row>
    <row r="6" spans="2:8" ht="15.75">
      <c r="B6" s="248" t="s">
        <v>2</v>
      </c>
      <c r="C6" s="107"/>
      <c r="D6" s="260">
        <f>+Budget!E69</f>
        <v>2015</v>
      </c>
      <c r="E6" s="111"/>
      <c r="F6" s="261">
        <f>+Budget!I6</f>
        <v>2016</v>
      </c>
      <c r="G6" s="107"/>
      <c r="H6" s="261">
        <f>+Budget!O6</f>
        <v>2017</v>
      </c>
    </row>
    <row r="8" spans="2:8" ht="15">
      <c r="B8" s="95" t="s">
        <v>71</v>
      </c>
      <c r="C8" s="113"/>
      <c r="D8" s="41">
        <f>+Budget!E8</f>
        <v>-14308841.2</v>
      </c>
      <c r="E8" s="113"/>
      <c r="F8" s="41">
        <f>+Budget!I8</f>
        <v>-15439665</v>
      </c>
      <c r="G8" s="93"/>
      <c r="H8" s="41">
        <f>+Budget!O8</f>
        <v>-16592376.4</v>
      </c>
    </row>
    <row r="9" spans="2:8" ht="15.75">
      <c r="B9" s="96" t="s">
        <v>72</v>
      </c>
      <c r="C9" s="113"/>
      <c r="D9" s="41">
        <f>+Budget!E20</f>
        <v>-427286.1</v>
      </c>
      <c r="E9" s="113"/>
      <c r="F9" s="41">
        <f>+Budget!I20</f>
        <v>-455000</v>
      </c>
      <c r="G9" s="93"/>
      <c r="H9" s="41">
        <f>+Budget!O20</f>
        <v>-561500</v>
      </c>
    </row>
    <row r="10" spans="2:8" ht="15.75">
      <c r="B10" s="96" t="s">
        <v>73</v>
      </c>
      <c r="C10" s="113"/>
      <c r="D10" s="41">
        <f>+Budget!E29</f>
        <v>-281733.894</v>
      </c>
      <c r="E10" s="113"/>
      <c r="F10" s="41">
        <f>+Budget!I29</f>
        <v>-207100</v>
      </c>
      <c r="G10" s="93"/>
      <c r="H10" s="41">
        <f>+Budget!O29</f>
        <v>-222400</v>
      </c>
    </row>
    <row r="11" spans="2:8" ht="15.75">
      <c r="B11" s="96" t="s">
        <v>74</v>
      </c>
      <c r="C11" s="113"/>
      <c r="D11" s="41">
        <f>+Budget!E38</f>
        <v>-98117.84848</v>
      </c>
      <c r="E11" s="113"/>
      <c r="F11" s="41">
        <f>+Budget!I38</f>
        <v>-337750</v>
      </c>
      <c r="G11" s="93"/>
      <c r="H11" s="41">
        <f>+Budget!O38</f>
        <v>-359920</v>
      </c>
    </row>
    <row r="12" spans="2:8" ht="15.75">
      <c r="B12" s="96" t="s">
        <v>75</v>
      </c>
      <c r="C12" s="113"/>
      <c r="D12" s="41">
        <f>+Budget!E45</f>
        <v>-262884.24</v>
      </c>
      <c r="E12" s="113"/>
      <c r="F12" s="41">
        <f>+Budget!I45</f>
        <v>-259100</v>
      </c>
      <c r="G12" s="93"/>
      <c r="H12" s="41">
        <f>+Budget!O45</f>
        <v>-273600</v>
      </c>
    </row>
    <row r="13" spans="2:8" ht="15.75">
      <c r="B13" s="96" t="s">
        <v>76</v>
      </c>
      <c r="C13" s="113"/>
      <c r="D13" s="41">
        <f>+Budget!E54</f>
        <v>-185300</v>
      </c>
      <c r="E13" s="113"/>
      <c r="F13" s="41">
        <f>+Budget!I54</f>
        <v>-196000</v>
      </c>
      <c r="G13" s="93"/>
      <c r="H13" s="41">
        <f>+Budget!O54</f>
        <v>-208000</v>
      </c>
    </row>
    <row r="14" spans="2:8" ht="15.75">
      <c r="B14" s="96" t="s">
        <v>77</v>
      </c>
      <c r="C14" s="113"/>
      <c r="D14" s="41">
        <f>+Budget!E55</f>
        <v>-355154</v>
      </c>
      <c r="E14" s="113"/>
      <c r="F14" s="41">
        <f>+Budget!I55</f>
        <v>-322000</v>
      </c>
      <c r="G14" s="93"/>
      <c r="H14" s="41">
        <f>+Budget!O55</f>
        <v>-346000</v>
      </c>
    </row>
    <row r="15" spans="2:8" s="112" customFormat="1" ht="15" customHeight="1">
      <c r="B15" s="238" t="s">
        <v>96</v>
      </c>
      <c r="C15" s="113"/>
      <c r="D15" s="41">
        <f>+Budget!E57</f>
        <v>-1617000</v>
      </c>
      <c r="E15" s="113"/>
      <c r="F15" s="41">
        <f>+Budget!I57</f>
        <v>-1798602</v>
      </c>
      <c r="G15" s="93"/>
      <c r="H15" s="41">
        <f>+Budget!O57</f>
        <v>-1797860</v>
      </c>
    </row>
    <row r="16" spans="2:8" s="213" customFormat="1" ht="15" customHeight="1">
      <c r="B16" s="238"/>
      <c r="C16" s="242"/>
      <c r="D16" s="225"/>
      <c r="E16" s="242"/>
      <c r="F16" s="225"/>
      <c r="G16" s="93"/>
      <c r="H16" s="225"/>
    </row>
    <row r="17" spans="2:8" ht="15.75">
      <c r="B17" s="247"/>
      <c r="C17" s="94"/>
      <c r="D17" s="105">
        <f>SUM(D8:D15)</f>
        <v>-17536317.282479998</v>
      </c>
      <c r="E17" s="94"/>
      <c r="F17" s="105">
        <f>SUM(F8:F15)</f>
        <v>-19015217</v>
      </c>
      <c r="G17" s="94"/>
      <c r="H17" s="105">
        <f>SUM(H8:H15)</f>
        <v>-20361656.4</v>
      </c>
    </row>
    <row r="18" spans="3:5" ht="15">
      <c r="C18" s="94"/>
      <c r="E18" s="94"/>
    </row>
    <row r="19" spans="2:8" ht="15">
      <c r="B19" s="12" t="s">
        <v>3</v>
      </c>
      <c r="C19" s="108"/>
      <c r="D19" s="273" t="str">
        <f>+D5</f>
        <v>BUDGET</v>
      </c>
      <c r="E19" s="108"/>
      <c r="F19" s="273" t="str">
        <f>+F5</f>
        <v>BUDGET</v>
      </c>
      <c r="G19" s="101"/>
      <c r="H19" s="273" t="str">
        <f>+H5</f>
        <v>BUDGET</v>
      </c>
    </row>
    <row r="20" spans="2:8" ht="15">
      <c r="B20" s="100"/>
      <c r="C20" s="109"/>
      <c r="D20" s="261">
        <f>+D6</f>
        <v>2015</v>
      </c>
      <c r="E20" s="109"/>
      <c r="F20" s="261">
        <f>+F6</f>
        <v>2016</v>
      </c>
      <c r="G20" s="101"/>
      <c r="H20" s="261">
        <f>+H6</f>
        <v>2017</v>
      </c>
    </row>
    <row r="21" spans="3:8" s="100" customFormat="1" ht="15">
      <c r="C21" s="103"/>
      <c r="D21" s="102"/>
      <c r="E21" s="103"/>
      <c r="F21" s="102"/>
      <c r="H21" s="102"/>
    </row>
    <row r="22" spans="2:8" ht="15">
      <c r="B22" s="12" t="s">
        <v>5</v>
      </c>
      <c r="C22" s="94"/>
      <c r="D22" s="41">
        <f>+Budget!E71</f>
        <v>13464031</v>
      </c>
      <c r="E22" s="94"/>
      <c r="F22" s="41">
        <f>+Budget!I71</f>
        <v>14632000</v>
      </c>
      <c r="H22" s="41">
        <f>+Budget!O71</f>
        <v>16047429</v>
      </c>
    </row>
    <row r="23" spans="2:8" ht="15">
      <c r="B23" s="100" t="s">
        <v>91</v>
      </c>
      <c r="C23" s="94"/>
      <c r="D23" s="41">
        <f>+Budget!E72</f>
        <v>1600000</v>
      </c>
      <c r="E23" s="94"/>
      <c r="F23" s="41">
        <f>+Budget!I72</f>
        <v>1200000</v>
      </c>
      <c r="G23" s="100"/>
      <c r="H23" s="41">
        <f>+Budget!O72</f>
        <v>1300000</v>
      </c>
    </row>
    <row r="24" spans="2:8" ht="15">
      <c r="B24" s="100" t="s">
        <v>90</v>
      </c>
      <c r="C24" s="94"/>
      <c r="D24" s="225">
        <f>+Budget!E73</f>
        <v>360000</v>
      </c>
      <c r="E24" s="94"/>
      <c r="F24" s="41">
        <f>+Budget!I73</f>
        <v>600000</v>
      </c>
      <c r="G24" s="100"/>
      <c r="H24" s="41">
        <f>+Budget!O73</f>
        <v>650000</v>
      </c>
    </row>
    <row r="25" spans="2:8" ht="15">
      <c r="B25" s="100" t="s">
        <v>92</v>
      </c>
      <c r="C25" s="94"/>
      <c r="D25" s="41">
        <f>+Budget!E74</f>
        <v>22260</v>
      </c>
      <c r="E25" s="94"/>
      <c r="F25" s="41">
        <f>+Budget!I74</f>
        <v>24000</v>
      </c>
      <c r="G25" s="100"/>
      <c r="H25" s="41">
        <f>+Budget!O74</f>
        <v>25000</v>
      </c>
    </row>
    <row r="26" spans="2:8" ht="15">
      <c r="B26" s="100" t="s">
        <v>93</v>
      </c>
      <c r="C26" s="94"/>
      <c r="D26" s="41">
        <f>+Budget!E75</f>
        <v>750000</v>
      </c>
      <c r="E26" s="94"/>
      <c r="F26" s="41">
        <f>+Budget!I75</f>
        <v>900000</v>
      </c>
      <c r="G26" s="100"/>
      <c r="H26" s="41">
        <f>+Budget!O75</f>
        <v>800000</v>
      </c>
    </row>
    <row r="27" spans="2:8" s="213" customFormat="1" ht="15">
      <c r="B27" s="213" t="s">
        <v>102</v>
      </c>
      <c r="C27" s="237"/>
      <c r="D27" s="225">
        <f>+Budget!E76</f>
        <v>-262500</v>
      </c>
      <c r="E27" s="237"/>
      <c r="F27" s="225"/>
      <c r="H27" s="225"/>
    </row>
    <row r="28" spans="2:8" ht="15">
      <c r="B28" s="263" t="s">
        <v>106</v>
      </c>
      <c r="C28" s="94"/>
      <c r="D28" s="225">
        <f>+Budget!E78</f>
        <v>1511650</v>
      </c>
      <c r="E28" s="94"/>
      <c r="F28" s="225">
        <f>+Budget!I78</f>
        <v>1431000</v>
      </c>
      <c r="H28" s="225">
        <f>+Budget!O78</f>
        <v>1498264</v>
      </c>
    </row>
    <row r="29" spans="3:8" s="213" customFormat="1" ht="15">
      <c r="C29" s="237"/>
      <c r="D29" s="225"/>
      <c r="E29" s="237"/>
      <c r="F29" s="225"/>
      <c r="H29" s="225"/>
    </row>
    <row r="30" spans="2:8" ht="15">
      <c r="B30" s="66" t="s">
        <v>28</v>
      </c>
      <c r="C30" s="94"/>
      <c r="D30" s="105">
        <f>SUM(D22:D28)</f>
        <v>17445441</v>
      </c>
      <c r="E30" s="94"/>
      <c r="F30" s="105">
        <f>SUM(F22:F28)</f>
        <v>18787000</v>
      </c>
      <c r="H30" s="105">
        <f>SUM(H22:H28)</f>
        <v>20320693</v>
      </c>
    </row>
    <row r="31" spans="2:5" ht="15">
      <c r="B31" s="100"/>
      <c r="C31" s="94"/>
      <c r="E31" s="94"/>
    </row>
    <row r="32" spans="2:8" ht="15.75" thickBot="1">
      <c r="B32" s="36" t="s">
        <v>100</v>
      </c>
      <c r="C32" s="104"/>
      <c r="D32" s="110">
        <f>+D30+D17</f>
        <v>-90876.28247999772</v>
      </c>
      <c r="E32" s="104"/>
      <c r="F32" s="110">
        <f>+F30+F17</f>
        <v>-228217</v>
      </c>
      <c r="H32" s="110">
        <f>+H30+H17</f>
        <v>-40963.39999999851</v>
      </c>
    </row>
    <row r="33" spans="2:5" ht="15.75" thickTop="1">
      <c r="B33" s="100"/>
      <c r="C33" s="94"/>
      <c r="E33" s="94"/>
    </row>
    <row r="34" spans="2:8" ht="15">
      <c r="B34" s="112" t="str">
        <f>+Budget!B92</f>
        <v>Capital Growth(fair value adjustments)</v>
      </c>
      <c r="C34" s="114"/>
      <c r="D34" s="114">
        <f>+Budget!E92</f>
        <v>500000</v>
      </c>
      <c r="E34" s="114"/>
      <c r="F34" s="114">
        <f>+Budget!I92</f>
        <v>600000</v>
      </c>
      <c r="H34">
        <f>+Budget!O92</f>
        <v>650000</v>
      </c>
    </row>
    <row r="35" spans="2:8" ht="15.75" thickBot="1">
      <c r="B35" s="263" t="s">
        <v>104</v>
      </c>
      <c r="D35" s="241">
        <f>+D34+D32</f>
        <v>409123.7175200023</v>
      </c>
      <c r="F35" s="241">
        <f>+F34+F32</f>
        <v>371783</v>
      </c>
      <c r="H35" s="241">
        <f>+H34+H32</f>
        <v>609036.6000000015</v>
      </c>
    </row>
    <row r="36" ht="15.75" thickTop="1"/>
  </sheetData>
  <sheetProtection/>
  <mergeCells count="1">
    <mergeCell ref="B2:F2"/>
  </mergeCells>
  <printOptions/>
  <pageMargins left="0.56" right="0.4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55"/>
  <sheetViews>
    <sheetView zoomScalePageLayoutView="0" workbookViewId="0" topLeftCell="J1">
      <selection activeCell="P10" sqref="P10"/>
    </sheetView>
  </sheetViews>
  <sheetFormatPr defaultColWidth="9.140625" defaultRowHeight="15"/>
  <cols>
    <col min="1" max="1" width="2.28125" style="0" customWidth="1"/>
    <col min="2" max="2" width="27.140625" style="0" customWidth="1"/>
    <col min="3" max="3" width="1.421875" style="0" customWidth="1"/>
    <col min="4" max="4" width="11.7109375" style="0" customWidth="1"/>
    <col min="5" max="6" width="1.421875" style="0" customWidth="1"/>
    <col min="7" max="7" width="0.85546875" style="0" customWidth="1"/>
    <col min="8" max="8" width="1.7109375" style="0" customWidth="1"/>
    <col min="9" max="9" width="10.7109375" style="0" customWidth="1"/>
    <col min="10" max="11" width="1.1484375" style="0" customWidth="1"/>
    <col min="12" max="12" width="1.8515625" style="0" customWidth="1"/>
    <col min="13" max="13" width="0.9921875" style="0" customWidth="1"/>
    <col min="14" max="14" width="23.57421875" style="0" customWidth="1"/>
    <col min="15" max="15" width="1.57421875" style="0" customWidth="1"/>
    <col min="16" max="16" width="13.8515625" style="0" customWidth="1"/>
    <col min="17" max="17" width="1.7109375" style="0" customWidth="1"/>
    <col min="18" max="18" width="2.28125" style="0" customWidth="1"/>
    <col min="19" max="19" width="2.8515625" style="0" customWidth="1"/>
    <col min="20" max="20" width="2.140625" style="0" customWidth="1"/>
    <col min="21" max="21" width="12.00390625" style="0" customWidth="1"/>
    <col min="22" max="22" width="1.7109375" style="0" customWidth="1"/>
  </cols>
  <sheetData>
    <row r="2" spans="2:21" ht="15">
      <c r="B2" s="12" t="s">
        <v>2</v>
      </c>
      <c r="C2" s="5"/>
      <c r="D2" s="13">
        <v>2014</v>
      </c>
      <c r="G2" s="2"/>
      <c r="I2" s="13">
        <v>2015</v>
      </c>
      <c r="N2" s="12" t="s">
        <v>3</v>
      </c>
      <c r="O2" s="1"/>
      <c r="P2" s="15">
        <v>2014</v>
      </c>
      <c r="Q2" s="1"/>
      <c r="R2" s="14"/>
      <c r="S2" s="14"/>
      <c r="T2" s="1"/>
      <c r="U2" s="15">
        <v>2015</v>
      </c>
    </row>
    <row r="3" spans="3:21" ht="15">
      <c r="C3" s="1"/>
      <c r="D3" s="1"/>
      <c r="G3" s="2"/>
      <c r="I3" s="1"/>
      <c r="O3" s="1"/>
      <c r="P3" s="1"/>
      <c r="Q3" s="1"/>
      <c r="R3" s="1"/>
      <c r="S3" s="1"/>
      <c r="T3" s="1"/>
      <c r="U3" s="1"/>
    </row>
    <row r="4" spans="2:22" ht="15">
      <c r="B4" s="12" t="s">
        <v>4</v>
      </c>
      <c r="C4" s="1"/>
      <c r="D4" s="17">
        <f>+D12+D15</f>
        <v>13528935</v>
      </c>
      <c r="G4" s="18">
        <v>0.05393397189061809</v>
      </c>
      <c r="H4" s="5"/>
      <c r="I4" s="17">
        <f>+I12+I15</f>
        <v>14308841.2</v>
      </c>
      <c r="M4" s="19">
        <v>0.06267250341004421</v>
      </c>
      <c r="N4" s="12" t="s">
        <v>5</v>
      </c>
      <c r="O4" s="20"/>
      <c r="P4" s="3"/>
      <c r="Q4" s="1"/>
      <c r="R4" s="1"/>
      <c r="S4" s="1"/>
      <c r="T4" s="1"/>
      <c r="U4" s="1"/>
      <c r="V4" s="21"/>
    </row>
    <row r="5" spans="2:22" ht="15">
      <c r="B5" t="s">
        <v>6</v>
      </c>
      <c r="C5" s="22"/>
      <c r="D5" s="23">
        <v>9596189</v>
      </c>
      <c r="E5" s="24"/>
      <c r="F5" s="27"/>
      <c r="G5" s="28">
        <v>0.05645845449688413</v>
      </c>
      <c r="H5" s="22"/>
      <c r="I5" s="23">
        <v>10137975</v>
      </c>
      <c r="J5" s="25"/>
      <c r="K5" s="8"/>
      <c r="L5" s="8"/>
      <c r="M5" s="19">
        <v>0.05565374069315454</v>
      </c>
      <c r="N5" s="5" t="s">
        <v>7</v>
      </c>
      <c r="O5" s="1"/>
      <c r="P5" s="29">
        <v>12367188</v>
      </c>
      <c r="Q5" s="20"/>
      <c r="R5" s="16">
        <v>0.08868976520774165</v>
      </c>
      <c r="S5" s="16"/>
      <c r="T5" s="20"/>
      <c r="U5" s="29">
        <v>13464031</v>
      </c>
      <c r="V5" s="21"/>
    </row>
    <row r="6" spans="2:22" ht="15">
      <c r="B6" s="30" t="s">
        <v>8</v>
      </c>
      <c r="C6" s="31"/>
      <c r="D6" s="27">
        <v>153400</v>
      </c>
      <c r="E6" s="32"/>
      <c r="F6" s="27"/>
      <c r="G6" s="34">
        <v>0.06</v>
      </c>
      <c r="H6" s="31"/>
      <c r="I6" s="27">
        <v>162604</v>
      </c>
      <c r="J6" s="33"/>
      <c r="K6" s="8"/>
      <c r="L6" s="8"/>
      <c r="M6" s="19">
        <v>0</v>
      </c>
      <c r="N6" t="s">
        <v>9</v>
      </c>
      <c r="O6" s="20"/>
      <c r="P6" s="3">
        <v>1490000</v>
      </c>
      <c r="Q6" s="20"/>
      <c r="R6" s="16">
        <v>0.0738255033557047</v>
      </c>
      <c r="S6" s="16"/>
      <c r="T6" s="20"/>
      <c r="U6" s="3">
        <v>1600000</v>
      </c>
      <c r="V6" s="21"/>
    </row>
    <row r="7" spans="2:22" ht="15">
      <c r="B7" s="30" t="s">
        <v>10</v>
      </c>
      <c r="C7" s="31"/>
      <c r="D7" s="27">
        <v>1591268</v>
      </c>
      <c r="E7" s="32"/>
      <c r="F7" s="27"/>
      <c r="G7" s="34">
        <v>0.06</v>
      </c>
      <c r="H7" s="31"/>
      <c r="I7" s="35">
        <v>1686744.08</v>
      </c>
      <c r="J7" s="33"/>
      <c r="K7" s="8"/>
      <c r="L7" s="8"/>
      <c r="M7" s="19">
        <v>0.09999930967116186</v>
      </c>
      <c r="N7" s="36" t="s">
        <v>11</v>
      </c>
      <c r="O7" s="20"/>
      <c r="P7" s="17">
        <v>-321405</v>
      </c>
      <c r="Q7" s="20"/>
      <c r="R7" s="16">
        <v>0.10500458922543209</v>
      </c>
      <c r="S7" s="37"/>
      <c r="T7" s="20"/>
      <c r="U7" s="17">
        <v>-355154</v>
      </c>
      <c r="V7" s="21"/>
    </row>
    <row r="8" spans="2:21" ht="15">
      <c r="B8" s="30" t="s">
        <v>12</v>
      </c>
      <c r="C8" s="31"/>
      <c r="D8" s="35">
        <v>1252878</v>
      </c>
      <c r="E8" s="32"/>
      <c r="F8" s="27"/>
      <c r="G8" s="34">
        <v>0.06</v>
      </c>
      <c r="H8" s="31"/>
      <c r="I8" s="27">
        <v>1328050.68</v>
      </c>
      <c r="J8" s="33"/>
      <c r="K8" s="8"/>
      <c r="L8" s="8"/>
      <c r="M8" s="19">
        <v>0.06000019061597552</v>
      </c>
      <c r="O8" s="1"/>
      <c r="P8" s="3">
        <f>SUM(P5:P7)</f>
        <v>13535783</v>
      </c>
      <c r="Q8" s="1"/>
      <c r="R8" s="16"/>
      <c r="S8" s="16"/>
      <c r="T8" s="1"/>
      <c r="U8" s="3">
        <f>SUM(U5:U7)</f>
        <v>14708877</v>
      </c>
    </row>
    <row r="9" spans="2:22" ht="15">
      <c r="B9" s="30" t="s">
        <v>13</v>
      </c>
      <c r="C9" s="38"/>
      <c r="D9" s="27">
        <v>281724</v>
      </c>
      <c r="E9" s="32"/>
      <c r="F9" s="27"/>
      <c r="G9" s="34">
        <v>0.06</v>
      </c>
      <c r="H9" s="38"/>
      <c r="I9" s="27">
        <v>298627.44</v>
      </c>
      <c r="J9" s="33"/>
      <c r="K9" s="8"/>
      <c r="L9" s="8"/>
      <c r="M9" s="19">
        <v>0.06</v>
      </c>
      <c r="O9" s="20"/>
      <c r="P9" s="3"/>
      <c r="Q9" s="20"/>
      <c r="R9" s="39"/>
      <c r="S9" s="39"/>
      <c r="T9" s="20"/>
      <c r="U9" s="3"/>
      <c r="V9" s="21"/>
    </row>
    <row r="10" spans="2:22" ht="15">
      <c r="B10" s="30" t="s">
        <v>14</v>
      </c>
      <c r="C10" s="31"/>
      <c r="D10" s="27">
        <v>23100</v>
      </c>
      <c r="E10" s="33"/>
      <c r="F10" s="8"/>
      <c r="G10" s="26">
        <v>0.06</v>
      </c>
      <c r="H10" s="31"/>
      <c r="I10" s="27">
        <v>24486</v>
      </c>
      <c r="J10" s="33"/>
      <c r="K10" s="8"/>
      <c r="L10" s="8"/>
      <c r="M10" s="19">
        <v>0.06</v>
      </c>
      <c r="N10" s="40" t="s">
        <v>15</v>
      </c>
      <c r="O10" s="20"/>
      <c r="P10" s="3"/>
      <c r="Q10" s="20"/>
      <c r="R10" s="39"/>
      <c r="S10" s="39"/>
      <c r="T10" s="20"/>
      <c r="U10" s="3"/>
      <c r="V10" s="21"/>
    </row>
    <row r="11" spans="2:22" ht="15">
      <c r="B11" s="30" t="s">
        <v>16</v>
      </c>
      <c r="C11" s="31"/>
      <c r="D11" s="17">
        <v>17300</v>
      </c>
      <c r="E11" s="33"/>
      <c r="F11" s="8"/>
      <c r="G11" s="26">
        <v>0.06</v>
      </c>
      <c r="H11" s="31"/>
      <c r="I11" s="17">
        <v>18338</v>
      </c>
      <c r="J11" s="33"/>
      <c r="K11" s="8"/>
      <c r="L11" s="8"/>
      <c r="M11" s="19">
        <v>0.06</v>
      </c>
      <c r="O11" s="20"/>
      <c r="P11" s="3"/>
      <c r="Q11" s="20"/>
      <c r="R11" s="39"/>
      <c r="S11" s="39"/>
      <c r="T11" s="20"/>
      <c r="U11" s="3"/>
      <c r="V11" s="21"/>
    </row>
    <row r="12" spans="2:22" ht="15">
      <c r="B12" s="30" t="s">
        <v>55</v>
      </c>
      <c r="C12" s="31"/>
      <c r="D12" s="27">
        <f>SUM(D5:D11)</f>
        <v>12915859</v>
      </c>
      <c r="E12" s="33"/>
      <c r="F12" s="8"/>
      <c r="G12" s="42"/>
      <c r="H12" s="31"/>
      <c r="I12" s="27">
        <f>SUM(I5:I11)</f>
        <v>13656825.2</v>
      </c>
      <c r="J12" s="33"/>
      <c r="K12" s="8"/>
      <c r="L12" s="8"/>
      <c r="M12" s="19">
        <v>0.06027119143934918</v>
      </c>
      <c r="O12" s="20"/>
      <c r="P12" s="3"/>
      <c r="Q12" s="20"/>
      <c r="R12" s="43"/>
      <c r="S12" s="43"/>
      <c r="T12" s="20"/>
      <c r="U12" s="3"/>
      <c r="V12" s="21"/>
    </row>
    <row r="13" spans="2:22" ht="15">
      <c r="B13" s="30"/>
      <c r="C13" s="31"/>
      <c r="D13" s="27"/>
      <c r="E13" s="33"/>
      <c r="F13" s="8"/>
      <c r="G13" s="42"/>
      <c r="H13" s="31"/>
      <c r="I13" s="27"/>
      <c r="J13" s="33"/>
      <c r="K13" s="8"/>
      <c r="L13" s="8"/>
      <c r="M13" s="19"/>
      <c r="N13" s="12" t="s">
        <v>17</v>
      </c>
      <c r="O13" s="43"/>
      <c r="P13" s="3">
        <f>+P16+P18+P19</f>
        <v>108500</v>
      </c>
      <c r="Q13" s="43"/>
      <c r="R13" s="34"/>
      <c r="S13" s="39"/>
      <c r="T13" s="43"/>
      <c r="U13" s="3">
        <f>+U16+U18+U19</f>
        <v>112260</v>
      </c>
      <c r="V13" s="44"/>
    </row>
    <row r="14" spans="2:22" ht="15">
      <c r="B14" s="30"/>
      <c r="C14" s="31"/>
      <c r="D14" s="27"/>
      <c r="E14" s="33"/>
      <c r="F14" s="8"/>
      <c r="G14" s="42"/>
      <c r="H14" s="31"/>
      <c r="I14" s="27"/>
      <c r="J14" s="33"/>
      <c r="K14" s="8"/>
      <c r="L14" s="8"/>
      <c r="M14" s="19"/>
      <c r="N14" t="s">
        <v>18</v>
      </c>
      <c r="O14" s="45"/>
      <c r="P14" s="23">
        <v>350000</v>
      </c>
      <c r="Q14" s="46"/>
      <c r="R14" s="34"/>
      <c r="S14" s="39"/>
      <c r="T14" s="45"/>
      <c r="U14" s="23">
        <v>360000</v>
      </c>
      <c r="V14" s="47"/>
    </row>
    <row r="15" spans="2:22" ht="15">
      <c r="B15" s="30" t="s">
        <v>19</v>
      </c>
      <c r="C15" s="31"/>
      <c r="D15" s="27">
        <v>613076</v>
      </c>
      <c r="E15" s="32"/>
      <c r="F15" s="27"/>
      <c r="G15" s="34">
        <v>0.06</v>
      </c>
      <c r="H15" s="31"/>
      <c r="I15" s="27">
        <v>652016</v>
      </c>
      <c r="J15" s="33"/>
      <c r="K15" s="8"/>
      <c r="L15" s="8"/>
      <c r="M15" s="19">
        <v>0.11007421044185003</v>
      </c>
      <c r="N15" t="s">
        <v>20</v>
      </c>
      <c r="O15" s="48"/>
      <c r="P15" s="17">
        <v>-262500</v>
      </c>
      <c r="Q15" s="49"/>
      <c r="R15" s="34"/>
      <c r="S15" s="39"/>
      <c r="T15" s="48"/>
      <c r="U15" s="17">
        <v>-270000</v>
      </c>
      <c r="V15" s="50"/>
    </row>
    <row r="16" spans="3:22" ht="15">
      <c r="C16" s="51"/>
      <c r="D16" s="17"/>
      <c r="E16" s="52"/>
      <c r="F16" s="8"/>
      <c r="G16" s="42"/>
      <c r="H16" s="51"/>
      <c r="I16" s="17"/>
      <c r="J16" s="52"/>
      <c r="K16" s="8"/>
      <c r="L16" s="8"/>
      <c r="M16" s="53"/>
      <c r="O16" s="45"/>
      <c r="P16" s="23">
        <f>SUM(P14:P15)</f>
        <v>87500</v>
      </c>
      <c r="Q16" s="46"/>
      <c r="R16" s="34"/>
      <c r="S16" s="20"/>
      <c r="T16" s="45"/>
      <c r="U16" s="23">
        <f>SUM(U14:U15)</f>
        <v>90000</v>
      </c>
      <c r="V16" s="47"/>
    </row>
    <row r="17" spans="2:22" ht="15">
      <c r="B17" s="41"/>
      <c r="C17" s="54"/>
      <c r="D17" s="27"/>
      <c r="E17" s="8"/>
      <c r="F17" s="8"/>
      <c r="G17" s="42"/>
      <c r="I17" s="27"/>
      <c r="J17" s="8"/>
      <c r="K17" s="8"/>
      <c r="L17" s="8"/>
      <c r="M17" s="53"/>
      <c r="N17" t="s">
        <v>21</v>
      </c>
      <c r="O17" s="55"/>
      <c r="P17" s="27"/>
      <c r="Q17" s="56"/>
      <c r="R17" s="34"/>
      <c r="S17" s="20"/>
      <c r="T17" s="55"/>
      <c r="U17" s="27"/>
      <c r="V17" s="57"/>
    </row>
    <row r="18" spans="2:22" ht="15">
      <c r="B18" s="12" t="s">
        <v>22</v>
      </c>
      <c r="C18" s="1"/>
      <c r="D18" s="3">
        <f>+D19+D20+D21+D22+D25</f>
        <v>392685</v>
      </c>
      <c r="E18" s="41"/>
      <c r="F18" s="41"/>
      <c r="G18" s="18">
        <v>0.08811413728561054</v>
      </c>
      <c r="I18" s="3">
        <f>+I19+I20+I21+I22+I25</f>
        <v>427286.1</v>
      </c>
      <c r="J18" s="41"/>
      <c r="K18" s="41"/>
      <c r="M18" s="53"/>
      <c r="N18" t="s">
        <v>23</v>
      </c>
      <c r="O18" s="31"/>
      <c r="P18" s="27">
        <v>1000</v>
      </c>
      <c r="Q18" s="58"/>
      <c r="R18" s="34"/>
      <c r="S18" s="54"/>
      <c r="T18" s="31"/>
      <c r="U18" s="27">
        <v>1060</v>
      </c>
      <c r="V18" s="59"/>
    </row>
    <row r="19" spans="2:22" ht="15">
      <c r="B19" t="s">
        <v>24</v>
      </c>
      <c r="C19" s="22"/>
      <c r="D19" s="23">
        <v>30000</v>
      </c>
      <c r="E19" s="25"/>
      <c r="F19" s="8"/>
      <c r="G19" s="26">
        <v>0.1</v>
      </c>
      <c r="H19" s="22"/>
      <c r="I19" s="23">
        <v>33000</v>
      </c>
      <c r="J19" s="25"/>
      <c r="K19" s="8"/>
      <c r="L19" s="41"/>
      <c r="M19" s="19">
        <v>0.08006769548505539</v>
      </c>
      <c r="N19" s="36" t="s">
        <v>25</v>
      </c>
      <c r="O19" s="51"/>
      <c r="P19" s="17">
        <v>20000</v>
      </c>
      <c r="Q19" s="60"/>
      <c r="R19" s="34"/>
      <c r="S19" s="1"/>
      <c r="T19" s="51"/>
      <c r="U19" s="17">
        <v>21200</v>
      </c>
      <c r="V19" s="61"/>
    </row>
    <row r="20" spans="2:22" ht="15">
      <c r="B20" t="s">
        <v>26</v>
      </c>
      <c r="C20" s="31"/>
      <c r="D20" s="27">
        <v>34000</v>
      </c>
      <c r="E20" s="33"/>
      <c r="F20" s="8"/>
      <c r="G20" s="26">
        <v>0.06</v>
      </c>
      <c r="H20" s="31"/>
      <c r="I20" s="27">
        <v>36040</v>
      </c>
      <c r="J20" s="33"/>
      <c r="K20" s="8"/>
      <c r="L20" s="41"/>
      <c r="M20" s="19"/>
      <c r="O20" s="1"/>
      <c r="P20" s="3"/>
      <c r="Q20" s="62"/>
      <c r="R20" s="1"/>
      <c r="S20" s="1"/>
      <c r="T20" s="1"/>
      <c r="U20" s="3"/>
      <c r="V20" s="63"/>
    </row>
    <row r="21" spans="2:22" ht="15">
      <c r="B21" t="s">
        <v>27</v>
      </c>
      <c r="C21" s="31"/>
      <c r="D21" s="27">
        <v>28885</v>
      </c>
      <c r="E21" s="64"/>
      <c r="F21" s="65"/>
      <c r="G21" s="26">
        <v>0.06</v>
      </c>
      <c r="H21" s="31"/>
      <c r="I21" s="27">
        <v>30618.1</v>
      </c>
      <c r="J21" s="64"/>
      <c r="K21" s="65"/>
      <c r="L21" s="8"/>
      <c r="M21" s="19">
        <v>0.06</v>
      </c>
      <c r="N21" s="66" t="s">
        <v>28</v>
      </c>
      <c r="O21" s="1"/>
      <c r="P21" s="23">
        <f>+P13+P10+P8</f>
        <v>13644283</v>
      </c>
      <c r="Q21" s="62"/>
      <c r="R21" s="16">
        <v>0.08175843145504365</v>
      </c>
      <c r="S21" s="1"/>
      <c r="T21" s="1"/>
      <c r="U21" s="23">
        <f>+U13+U10+U8</f>
        <v>14821137</v>
      </c>
      <c r="V21" s="63"/>
    </row>
    <row r="22" spans="2:22" ht="15">
      <c r="B22" t="s">
        <v>29</v>
      </c>
      <c r="C22" s="31"/>
      <c r="D22" s="27">
        <f>+D23+D24</f>
        <v>149800</v>
      </c>
      <c r="E22" s="33"/>
      <c r="F22" s="8"/>
      <c r="G22" s="18">
        <v>0.08563417890520694</v>
      </c>
      <c r="H22" s="31"/>
      <c r="I22" s="27">
        <f>+I23+I24</f>
        <v>162628</v>
      </c>
      <c r="J22" s="33"/>
      <c r="K22" s="8"/>
      <c r="L22" s="65"/>
      <c r="M22" s="19">
        <v>0.06</v>
      </c>
      <c r="O22" s="1"/>
      <c r="P22" s="3"/>
      <c r="Q22" s="54"/>
      <c r="R22" s="67"/>
      <c r="S22" s="67"/>
      <c r="T22" s="1"/>
      <c r="U22" s="3"/>
      <c r="V22" s="6"/>
    </row>
    <row r="23" spans="2:22" ht="15">
      <c r="B23" t="s">
        <v>30</v>
      </c>
      <c r="C23" s="31"/>
      <c r="D23" s="68">
        <v>53800</v>
      </c>
      <c r="E23" s="33"/>
      <c r="F23" s="8"/>
      <c r="G23" s="26">
        <v>0.06</v>
      </c>
      <c r="H23" s="31"/>
      <c r="I23" s="68">
        <v>57028</v>
      </c>
      <c r="J23" s="33"/>
      <c r="K23" s="8"/>
      <c r="L23" s="8"/>
      <c r="M23" s="19">
        <v>0.325784787585856</v>
      </c>
      <c r="N23" s="36" t="s">
        <v>31</v>
      </c>
      <c r="O23" s="1"/>
      <c r="P23" s="3">
        <f>+P25-P21</f>
        <v>1053691.7080000006</v>
      </c>
      <c r="Q23" s="62"/>
      <c r="R23" s="67"/>
      <c r="S23" s="67"/>
      <c r="T23" s="1"/>
      <c r="U23" s="3">
        <f>+U25-U21</f>
        <v>743026.290479999</v>
      </c>
      <c r="V23" s="63"/>
    </row>
    <row r="24" spans="2:22" ht="15">
      <c r="B24" t="s">
        <v>32</v>
      </c>
      <c r="C24" s="31"/>
      <c r="D24" s="69">
        <v>96000</v>
      </c>
      <c r="E24" s="33"/>
      <c r="F24" s="8"/>
      <c r="G24" s="26">
        <v>0.1</v>
      </c>
      <c r="H24" s="31"/>
      <c r="I24" s="69">
        <v>105600</v>
      </c>
      <c r="J24" s="33"/>
      <c r="K24" s="8"/>
      <c r="L24" s="8"/>
      <c r="M24" s="19">
        <v>0.7588120195667365</v>
      </c>
      <c r="O24" s="70"/>
      <c r="P24" s="3"/>
      <c r="Q24" s="71"/>
      <c r="R24" s="70"/>
      <c r="S24" s="70"/>
      <c r="T24" s="70"/>
      <c r="U24" s="3"/>
      <c r="V24" s="6"/>
    </row>
    <row r="25" spans="2:21" ht="15.75" thickBot="1">
      <c r="B25" s="36" t="s">
        <v>33</v>
      </c>
      <c r="C25" s="31"/>
      <c r="D25" s="27">
        <v>150000</v>
      </c>
      <c r="E25" s="33"/>
      <c r="F25" s="8"/>
      <c r="G25" s="26">
        <v>0.1</v>
      </c>
      <c r="H25" s="31"/>
      <c r="I25" s="27">
        <v>165000</v>
      </c>
      <c r="J25" s="33"/>
      <c r="K25" s="8"/>
      <c r="L25" s="8"/>
      <c r="M25" s="19">
        <v>0.07792</v>
      </c>
      <c r="N25" s="12" t="s">
        <v>34</v>
      </c>
      <c r="O25" s="1"/>
      <c r="P25" s="72">
        <f>+D55</f>
        <v>14697974.708</v>
      </c>
      <c r="Q25" s="1"/>
      <c r="R25" s="1"/>
      <c r="S25" s="1"/>
      <c r="T25" s="1"/>
      <c r="U25" s="72">
        <f>+I55</f>
        <v>15564163.290479999</v>
      </c>
    </row>
    <row r="26" spans="3:13" ht="15.75" thickTop="1">
      <c r="C26" s="51"/>
      <c r="D26" s="17"/>
      <c r="E26" s="52"/>
      <c r="F26" s="8"/>
      <c r="G26" s="42"/>
      <c r="H26" s="51"/>
      <c r="I26" s="17"/>
      <c r="J26" s="52"/>
      <c r="K26" s="8"/>
      <c r="L26" s="8"/>
      <c r="M26" s="19">
        <v>-0.06086956521739131</v>
      </c>
    </row>
    <row r="27" spans="3:13" ht="15">
      <c r="C27" s="1"/>
      <c r="D27" s="3"/>
      <c r="E27" s="41"/>
      <c r="F27" s="41"/>
      <c r="G27" s="73"/>
      <c r="H27" s="1"/>
      <c r="I27" s="3"/>
      <c r="J27" s="41"/>
      <c r="K27" s="41"/>
      <c r="L27" s="8"/>
      <c r="M27" s="19"/>
    </row>
    <row r="28" spans="2:21" ht="15">
      <c r="B28" s="12" t="s">
        <v>35</v>
      </c>
      <c r="C28" s="1"/>
      <c r="D28" s="3">
        <f>SUM(D29:D34)</f>
        <v>265786.7</v>
      </c>
      <c r="E28" s="41"/>
      <c r="F28" s="41"/>
      <c r="G28" s="18">
        <v>0.05999999999999996</v>
      </c>
      <c r="H28" s="1"/>
      <c r="I28" s="3">
        <f>SUM(I29:I34)</f>
        <v>281733.902</v>
      </c>
      <c r="J28" s="41"/>
      <c r="K28" s="41"/>
      <c r="L28" s="41"/>
      <c r="M28" s="19"/>
      <c r="P28" s="82">
        <v>303000</v>
      </c>
      <c r="Q28" s="78"/>
      <c r="R28" s="78"/>
      <c r="S28" s="78"/>
      <c r="T28" s="78"/>
      <c r="U28" s="78">
        <v>-6974</v>
      </c>
    </row>
    <row r="29" spans="2:21" ht="15">
      <c r="B29" t="s">
        <v>36</v>
      </c>
      <c r="C29" s="22"/>
      <c r="D29" s="23">
        <v>10976.3</v>
      </c>
      <c r="E29" s="25"/>
      <c r="F29" s="8"/>
      <c r="G29" s="26">
        <v>0.06</v>
      </c>
      <c r="H29" s="22"/>
      <c r="I29" s="23">
        <v>11634.877999999999</v>
      </c>
      <c r="J29" s="25"/>
      <c r="K29" s="8"/>
      <c r="L29" s="41"/>
      <c r="M29" s="19">
        <v>0.06</v>
      </c>
      <c r="N29" t="s">
        <v>68</v>
      </c>
      <c r="P29" s="83">
        <v>750000</v>
      </c>
      <c r="Q29" s="78"/>
      <c r="R29" s="78"/>
      <c r="S29" s="78"/>
      <c r="T29" s="78"/>
      <c r="U29" s="78">
        <v>750000</v>
      </c>
    </row>
    <row r="30" spans="2:21" ht="15">
      <c r="B30" t="s">
        <v>37</v>
      </c>
      <c r="C30" s="31"/>
      <c r="D30" s="27">
        <v>67013.2</v>
      </c>
      <c r="E30" s="33"/>
      <c r="F30" s="8"/>
      <c r="G30" s="26">
        <v>0.06</v>
      </c>
      <c r="H30" s="31"/>
      <c r="I30" s="27">
        <v>71033.992</v>
      </c>
      <c r="J30" s="33"/>
      <c r="K30" s="8"/>
      <c r="L30" s="8"/>
      <c r="M30" s="19"/>
      <c r="N30" s="53" t="s">
        <v>58</v>
      </c>
      <c r="P30" s="79">
        <f>+P29+P28</f>
        <v>1053000</v>
      </c>
      <c r="Q30" s="78"/>
      <c r="R30" s="78"/>
      <c r="S30" s="78"/>
      <c r="T30" s="78"/>
      <c r="U30" s="79">
        <f>+U29+U28</f>
        <v>743026</v>
      </c>
    </row>
    <row r="31" spans="2:21" ht="15">
      <c r="B31" t="s">
        <v>38</v>
      </c>
      <c r="C31" s="31"/>
      <c r="D31" s="27">
        <v>35000</v>
      </c>
      <c r="E31" s="33"/>
      <c r="F31" s="8"/>
      <c r="G31" s="26">
        <v>0.06</v>
      </c>
      <c r="H31" s="31"/>
      <c r="I31" s="27">
        <v>37100</v>
      </c>
      <c r="J31" s="33"/>
      <c r="K31" s="8"/>
      <c r="L31" s="8"/>
      <c r="M31" s="19"/>
      <c r="N31" t="s">
        <v>59</v>
      </c>
      <c r="P31" s="78">
        <v>29.25</v>
      </c>
      <c r="Q31" s="78"/>
      <c r="R31" s="78"/>
      <c r="S31" s="78"/>
      <c r="T31" s="78"/>
      <c r="U31" s="78">
        <v>29.25</v>
      </c>
    </row>
    <row r="32" spans="2:21" ht="15">
      <c r="B32" t="s">
        <v>39</v>
      </c>
      <c r="C32" s="31"/>
      <c r="D32" s="27">
        <v>32000</v>
      </c>
      <c r="E32" s="33"/>
      <c r="F32" s="8"/>
      <c r="G32" s="26">
        <v>0.06</v>
      </c>
      <c r="H32" s="31"/>
      <c r="I32" s="27">
        <v>33920</v>
      </c>
      <c r="J32" s="33"/>
      <c r="K32" s="8"/>
      <c r="L32" s="8"/>
      <c r="M32" s="19"/>
      <c r="N32" t="s">
        <v>60</v>
      </c>
      <c r="P32" s="78">
        <f>+P30/P31</f>
        <v>36000</v>
      </c>
      <c r="Q32" s="78"/>
      <c r="R32" s="78"/>
      <c r="S32" s="78"/>
      <c r="T32" s="78"/>
      <c r="U32" s="78">
        <f>+U30/U31</f>
        <v>25402.59829059829</v>
      </c>
    </row>
    <row r="33" spans="2:21" ht="15">
      <c r="B33" t="s">
        <v>40</v>
      </c>
      <c r="C33" s="31"/>
      <c r="D33" s="27">
        <v>20797.2</v>
      </c>
      <c r="E33" s="33"/>
      <c r="F33" s="8"/>
      <c r="G33" s="26">
        <v>0.06</v>
      </c>
      <c r="H33" s="31"/>
      <c r="I33" s="27">
        <v>22045.032</v>
      </c>
      <c r="J33" s="33"/>
      <c r="K33" s="8"/>
      <c r="L33" s="8"/>
      <c r="M33" s="19"/>
      <c r="N33" t="s">
        <v>61</v>
      </c>
      <c r="P33" s="84">
        <f>+P32/12</f>
        <v>3000</v>
      </c>
      <c r="Q33" s="80"/>
      <c r="R33" s="80"/>
      <c r="S33" s="80"/>
      <c r="T33" s="80"/>
      <c r="U33" s="84">
        <f>+U32/12</f>
        <v>2116.8831908831908</v>
      </c>
    </row>
    <row r="34" spans="2:21" ht="15">
      <c r="B34" t="s">
        <v>41</v>
      </c>
      <c r="C34" s="31"/>
      <c r="D34" s="27">
        <v>100000</v>
      </c>
      <c r="E34" s="33"/>
      <c r="F34" s="8"/>
      <c r="G34" s="26">
        <v>0.06</v>
      </c>
      <c r="H34" s="31"/>
      <c r="I34" s="27">
        <v>106000</v>
      </c>
      <c r="J34" s="33"/>
      <c r="K34" s="8"/>
      <c r="L34" s="8"/>
      <c r="M34" s="19"/>
      <c r="P34" s="80"/>
      <c r="Q34" s="80"/>
      <c r="R34" s="80"/>
      <c r="S34" s="80"/>
      <c r="T34" s="80"/>
      <c r="U34" s="80"/>
    </row>
    <row r="35" spans="3:22" ht="15">
      <c r="C35" s="51"/>
      <c r="D35" s="17"/>
      <c r="E35" s="52"/>
      <c r="F35" s="8"/>
      <c r="G35" s="42"/>
      <c r="H35" s="51"/>
      <c r="I35" s="17"/>
      <c r="J35" s="52"/>
      <c r="K35" s="8"/>
      <c r="L35" s="8"/>
      <c r="M35" s="19"/>
      <c r="N35" t="s">
        <v>62</v>
      </c>
      <c r="P35" s="78">
        <v>422810</v>
      </c>
      <c r="Q35" s="78"/>
      <c r="R35" s="78"/>
      <c r="S35" s="78"/>
      <c r="T35" s="78"/>
      <c r="U35" s="78"/>
      <c r="V35" s="77"/>
    </row>
    <row r="36" spans="3:22" ht="15">
      <c r="C36" s="1"/>
      <c r="D36" s="3"/>
      <c r="E36" s="41"/>
      <c r="F36" s="41"/>
      <c r="G36" s="73"/>
      <c r="H36" s="1"/>
      <c r="I36" s="3"/>
      <c r="J36" s="41"/>
      <c r="K36" s="41"/>
      <c r="L36" s="8"/>
      <c r="M36" s="19"/>
      <c r="N36" t="s">
        <v>63</v>
      </c>
      <c r="P36" s="78">
        <f>+P32</f>
        <v>36000</v>
      </c>
      <c r="Q36" s="78"/>
      <c r="R36" s="78"/>
      <c r="S36" s="78"/>
      <c r="T36" s="78"/>
      <c r="U36" s="78"/>
      <c r="V36" s="77"/>
    </row>
    <row r="37" spans="2:22" ht="15">
      <c r="B37" s="12" t="s">
        <v>42</v>
      </c>
      <c r="C37" s="1"/>
      <c r="D37" s="3">
        <f>SUM(D38:D41)</f>
        <v>92564.008</v>
      </c>
      <c r="E37" s="41"/>
      <c r="F37" s="41"/>
      <c r="G37" s="18">
        <v>0.05999999999999999</v>
      </c>
      <c r="H37" s="1"/>
      <c r="I37" s="3">
        <f>SUM(I38:I41)</f>
        <v>98117.84848</v>
      </c>
      <c r="J37" s="41"/>
      <c r="K37" s="41"/>
      <c r="L37" s="41"/>
      <c r="M37" s="19"/>
      <c r="N37" t="s">
        <v>64</v>
      </c>
      <c r="P37" s="79">
        <f>+P36+P35</f>
        <v>458810</v>
      </c>
      <c r="Q37" s="78"/>
      <c r="R37" s="78"/>
      <c r="S37" s="78"/>
      <c r="T37" s="78"/>
      <c r="U37" s="78"/>
      <c r="V37" s="77"/>
    </row>
    <row r="38" spans="2:22" ht="15">
      <c r="B38" t="s">
        <v>43</v>
      </c>
      <c r="C38" s="22"/>
      <c r="D38" s="23">
        <v>70000</v>
      </c>
      <c r="E38" s="25"/>
      <c r="F38" s="8"/>
      <c r="G38" s="26">
        <v>0.06</v>
      </c>
      <c r="H38" s="22"/>
      <c r="I38" s="23">
        <v>74200</v>
      </c>
      <c r="J38" s="25"/>
      <c r="K38" s="8"/>
      <c r="L38" s="41"/>
      <c r="M38" s="19"/>
      <c r="N38" t="s">
        <v>65</v>
      </c>
      <c r="P38" s="78">
        <v>444000</v>
      </c>
      <c r="Q38" s="78"/>
      <c r="R38" s="78"/>
      <c r="S38" s="78"/>
      <c r="T38" s="78"/>
      <c r="U38" s="78"/>
      <c r="V38" s="77"/>
    </row>
    <row r="39" spans="2:22" ht="15">
      <c r="B39" t="s">
        <v>44</v>
      </c>
      <c r="C39" s="31"/>
      <c r="D39" s="27">
        <v>2862</v>
      </c>
      <c r="E39" s="64"/>
      <c r="F39" s="65"/>
      <c r="G39" s="26">
        <v>0.06</v>
      </c>
      <c r="H39" s="31"/>
      <c r="I39" s="27">
        <v>3033.72</v>
      </c>
      <c r="J39" s="64"/>
      <c r="K39" s="65"/>
      <c r="L39" s="8"/>
      <c r="M39" s="19"/>
      <c r="N39" t="s">
        <v>66</v>
      </c>
      <c r="P39" s="79">
        <f>+P37-P38</f>
        <v>14810</v>
      </c>
      <c r="Q39" s="78"/>
      <c r="R39" s="78"/>
      <c r="S39" s="78"/>
      <c r="T39" s="78"/>
      <c r="U39" s="78"/>
      <c r="V39" s="77"/>
    </row>
    <row r="40" spans="2:21" ht="15">
      <c r="B40" t="s">
        <v>45</v>
      </c>
      <c r="C40" s="31"/>
      <c r="D40" s="27">
        <v>8254.008</v>
      </c>
      <c r="E40" s="33"/>
      <c r="F40" s="8"/>
      <c r="G40" s="26">
        <v>0.06</v>
      </c>
      <c r="H40" s="31"/>
      <c r="I40" s="27">
        <v>8749.24848</v>
      </c>
      <c r="J40" s="33"/>
      <c r="K40" s="8"/>
      <c r="L40" s="65"/>
      <c r="M40" s="19"/>
      <c r="N40" t="s">
        <v>67</v>
      </c>
      <c r="P40" s="81">
        <f>+P39/12</f>
        <v>1234.1666666666667</v>
      </c>
      <c r="Q40" s="80"/>
      <c r="R40" s="80"/>
      <c r="S40" s="80"/>
      <c r="T40" s="80"/>
      <c r="U40" s="80"/>
    </row>
    <row r="41" spans="2:13" ht="15">
      <c r="B41" t="s">
        <v>46</v>
      </c>
      <c r="C41" s="31"/>
      <c r="D41" s="27">
        <v>11448</v>
      </c>
      <c r="E41" s="33"/>
      <c r="F41" s="8"/>
      <c r="G41" s="26">
        <v>0.06</v>
      </c>
      <c r="H41" s="31"/>
      <c r="I41" s="27">
        <v>12134.88</v>
      </c>
      <c r="J41" s="33"/>
      <c r="K41" s="8"/>
      <c r="L41" s="8"/>
      <c r="M41" s="19"/>
    </row>
    <row r="42" spans="3:16" ht="15">
      <c r="C42" s="51"/>
      <c r="D42" s="17"/>
      <c r="E42" s="52"/>
      <c r="F42" s="8"/>
      <c r="G42" s="42"/>
      <c r="H42" s="51"/>
      <c r="I42" s="17"/>
      <c r="J42" s="52"/>
      <c r="K42" s="8"/>
      <c r="L42" s="8"/>
      <c r="M42" s="19"/>
      <c r="N42" t="s">
        <v>69</v>
      </c>
      <c r="P42">
        <v>750000</v>
      </c>
    </row>
    <row r="43" spans="3:16" ht="15">
      <c r="C43" s="1"/>
      <c r="D43" s="3"/>
      <c r="E43" s="41"/>
      <c r="F43" s="41"/>
      <c r="G43" s="73"/>
      <c r="H43" s="1"/>
      <c r="I43" s="3"/>
      <c r="J43" s="41"/>
      <c r="K43" s="41"/>
      <c r="L43" s="8"/>
      <c r="M43" s="19"/>
      <c r="N43" t="s">
        <v>70</v>
      </c>
      <c r="P43">
        <v>395750</v>
      </c>
    </row>
    <row r="44" spans="2:16" ht="15">
      <c r="B44" s="12" t="s">
        <v>47</v>
      </c>
      <c r="C44" s="1"/>
      <c r="D44" s="3">
        <f>SUM(D45:D50)</f>
        <v>248004</v>
      </c>
      <c r="E44" s="41"/>
      <c r="F44" s="41"/>
      <c r="G44" s="73"/>
      <c r="H44" s="1"/>
      <c r="I44" s="3">
        <f>SUM(I45:I50)</f>
        <v>262884.24</v>
      </c>
      <c r="J44" s="41"/>
      <c r="K44" s="41"/>
      <c r="L44" s="41"/>
      <c r="M44" s="19"/>
      <c r="P44" s="76">
        <f>+P42-P43</f>
        <v>354250</v>
      </c>
    </row>
    <row r="45" spans="2:16" ht="15">
      <c r="B45" t="s">
        <v>48</v>
      </c>
      <c r="C45" s="22"/>
      <c r="D45" s="23">
        <v>21000</v>
      </c>
      <c r="E45" s="25"/>
      <c r="F45" s="8"/>
      <c r="G45" s="26">
        <v>0.06</v>
      </c>
      <c r="H45" s="22"/>
      <c r="I45" s="23">
        <v>22260</v>
      </c>
      <c r="J45" s="25"/>
      <c r="K45" s="8"/>
      <c r="L45" s="41"/>
      <c r="M45" s="19"/>
      <c r="P45">
        <v>29.5</v>
      </c>
    </row>
    <row r="46" spans="2:16" ht="15">
      <c r="B46" s="36" t="s">
        <v>49</v>
      </c>
      <c r="C46" s="31"/>
      <c r="D46" s="27">
        <v>188320</v>
      </c>
      <c r="E46" s="33"/>
      <c r="F46" s="8"/>
      <c r="G46" s="26">
        <v>0.06</v>
      </c>
      <c r="H46" s="31"/>
      <c r="I46" s="27">
        <v>199619.2</v>
      </c>
      <c r="J46" s="33"/>
      <c r="K46" s="8"/>
      <c r="L46" s="8"/>
      <c r="M46" s="19">
        <v>0.06</v>
      </c>
      <c r="P46" s="85">
        <f>+P44/P45</f>
        <v>12008.474576271186</v>
      </c>
    </row>
    <row r="47" spans="2:16" ht="15">
      <c r="B47" t="s">
        <v>50</v>
      </c>
      <c r="C47" s="31"/>
      <c r="D47" s="27"/>
      <c r="E47" s="33"/>
      <c r="F47" s="8"/>
      <c r="G47" s="26"/>
      <c r="H47" s="31"/>
      <c r="I47" s="27"/>
      <c r="J47" s="33"/>
      <c r="K47" s="8"/>
      <c r="L47" s="8"/>
      <c r="M47" s="19">
        <v>0.17333333333333334</v>
      </c>
      <c r="P47">
        <f>+P46/12</f>
        <v>1000.7062146892655</v>
      </c>
    </row>
    <row r="48" spans="2:13" ht="15">
      <c r="B48" t="s">
        <v>51</v>
      </c>
      <c r="C48" s="31"/>
      <c r="D48" s="27">
        <v>1000</v>
      </c>
      <c r="E48" s="33"/>
      <c r="F48" s="8"/>
      <c r="G48" s="26">
        <v>0.06</v>
      </c>
      <c r="H48" s="31"/>
      <c r="I48" s="27">
        <v>1060</v>
      </c>
      <c r="J48" s="33"/>
      <c r="K48" s="8"/>
      <c r="L48" s="8"/>
      <c r="M48" s="19"/>
    </row>
    <row r="49" spans="2:13" ht="15">
      <c r="B49" t="s">
        <v>56</v>
      </c>
      <c r="C49" s="31"/>
      <c r="D49" s="27">
        <v>22684</v>
      </c>
      <c r="E49" s="33"/>
      <c r="F49" s="8"/>
      <c r="G49" s="26">
        <v>0.06</v>
      </c>
      <c r="H49" s="31"/>
      <c r="I49" s="27">
        <v>24045.04</v>
      </c>
      <c r="J49" s="33"/>
      <c r="K49" s="8"/>
      <c r="L49" s="8"/>
      <c r="M49" s="19">
        <v>0.06</v>
      </c>
    </row>
    <row r="50" spans="2:13" ht="15">
      <c r="B50" t="s">
        <v>52</v>
      </c>
      <c r="C50" s="31"/>
      <c r="D50" s="27">
        <v>15000</v>
      </c>
      <c r="E50" s="33"/>
      <c r="F50" s="8"/>
      <c r="G50" s="26">
        <v>0.06</v>
      </c>
      <c r="H50" s="31"/>
      <c r="I50" s="27">
        <v>15900</v>
      </c>
      <c r="J50" s="33"/>
      <c r="K50" s="8"/>
      <c r="L50" s="8"/>
      <c r="M50" s="19">
        <v>0.06</v>
      </c>
    </row>
    <row r="51" spans="3:13" ht="15">
      <c r="C51" s="51"/>
      <c r="D51" s="17"/>
      <c r="E51" s="52"/>
      <c r="F51" s="8"/>
      <c r="G51" s="42"/>
      <c r="H51" s="51"/>
      <c r="I51" s="17"/>
      <c r="J51" s="52"/>
      <c r="K51" s="8"/>
      <c r="L51" s="8"/>
      <c r="M51" s="19">
        <v>0.06</v>
      </c>
    </row>
    <row r="52" spans="3:13" ht="15">
      <c r="C52" s="1"/>
      <c r="D52" s="3"/>
      <c r="E52" s="41"/>
      <c r="F52" s="41"/>
      <c r="G52" s="73"/>
      <c r="I52" s="3"/>
      <c r="K52" s="41"/>
      <c r="L52" s="8"/>
      <c r="M52" s="19"/>
    </row>
    <row r="53" spans="2:13" ht="15">
      <c r="B53" s="12" t="s">
        <v>53</v>
      </c>
      <c r="C53" s="1"/>
      <c r="D53" s="27">
        <v>170000</v>
      </c>
      <c r="E53" s="41"/>
      <c r="F53" s="41"/>
      <c r="G53" s="26">
        <v>0.09</v>
      </c>
      <c r="I53" s="27">
        <v>185300</v>
      </c>
      <c r="K53" s="41"/>
      <c r="L53" s="41"/>
      <c r="M53" s="19"/>
    </row>
    <row r="54" spans="2:13" ht="15">
      <c r="B54" s="12"/>
      <c r="C54" s="1"/>
      <c r="D54" s="27"/>
      <c r="E54" s="41"/>
      <c r="F54" s="41"/>
      <c r="G54" s="73"/>
      <c r="I54" s="27"/>
      <c r="K54" s="41"/>
      <c r="L54" s="41"/>
      <c r="M54" s="19">
        <v>0.06</v>
      </c>
    </row>
    <row r="55" spans="2:13" ht="15.75" thickBot="1">
      <c r="B55" s="66" t="s">
        <v>54</v>
      </c>
      <c r="C55" s="54"/>
      <c r="D55" s="72">
        <f>+D53+D44+D37+D28+D18+D4</f>
        <v>14697974.708</v>
      </c>
      <c r="E55" s="8"/>
      <c r="F55" s="8"/>
      <c r="G55" s="18">
        <v>0.05551455888925186</v>
      </c>
      <c r="H55" s="1"/>
      <c r="I55" s="72">
        <f>+I53+I44+I37+I28+I18+I4</f>
        <v>15564163.290479999</v>
      </c>
      <c r="J55" s="41"/>
      <c r="K55" s="8"/>
      <c r="L55" s="41"/>
      <c r="M55" s="74"/>
    </row>
    <row r="56" ht="15.75" thickTop="1"/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cp:lastPrinted>2015-09-25T08:35:20Z</cp:lastPrinted>
  <dcterms:created xsi:type="dcterms:W3CDTF">2013-08-17T06:15:29Z</dcterms:created>
  <dcterms:modified xsi:type="dcterms:W3CDTF">2015-09-29T18:00:41Z</dcterms:modified>
  <cp:category/>
  <cp:version/>
  <cp:contentType/>
  <cp:contentStatus/>
</cp:coreProperties>
</file>